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953\AC\Temp\"/>
    </mc:Choice>
  </mc:AlternateContent>
  <xr:revisionPtr revIDLastSave="0" documentId="8_{323CBC63-53D5-4B76-8879-991462750458}" xr6:coauthVersionLast="47" xr6:coauthVersionMax="47" xr10:uidLastSave="{00000000-0000-0000-0000-000000000000}"/>
  <bookViews>
    <workbookView xWindow="270" yWindow="570" windowWidth="18615" windowHeight="13230" firstSheet="4" activeTab="4" xr2:uid="{00000000-000D-0000-FFFF-FFFF00000000}"/>
  </bookViews>
  <sheets>
    <sheet name="agenda" sheetId="6" r:id="rId1"/>
    <sheet name="bala" sheetId="5" r:id="rId2"/>
    <sheet name="Horario" sheetId="17" r:id="rId3"/>
    <sheet name="Haberes" sheetId="14" r:id="rId4"/>
    <sheet name="in9025" sheetId="13" r:id="rId5"/>
    <sheet name="sucesión" sheetId="15" r:id="rId6"/>
    <sheet name="ax" sheetId="10" r:id="rId7"/>
    <sheet name="AmorTizacion" sheetId="1" r:id="rId8"/>
    <sheet name="Caja" sheetId="12" r:id="rId9"/>
    <sheet name="RRHH" sheetId="7" r:id="rId10"/>
    <sheet name="CBU" sheetId="16" r:id="rId1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9" i="13" l="1"/>
  <c r="G219" i="13"/>
  <c r="F219" i="13"/>
  <c r="G228" i="13"/>
  <c r="F228" i="13"/>
  <c r="H228" i="13" s="1"/>
  <c r="H222" i="13"/>
  <c r="H223" i="13" s="1"/>
  <c r="H224" i="13" s="1"/>
  <c r="H225" i="13" s="1"/>
  <c r="H226" i="13" s="1"/>
  <c r="H227" i="13" s="1"/>
  <c r="P19" i="5"/>
  <c r="P16" i="5"/>
  <c r="P17" i="5"/>
  <c r="I17" i="5"/>
  <c r="I16" i="5"/>
  <c r="G463" i="13"/>
  <c r="M460" i="13"/>
  <c r="M463" i="13" s="1"/>
  <c r="F451" i="13"/>
  <c r="F462" i="13"/>
  <c r="F463" i="13"/>
  <c r="H463" i="13" s="1"/>
  <c r="J461" i="13"/>
  <c r="H455" i="13"/>
  <c r="H456" i="13" s="1"/>
  <c r="H457" i="13" s="1"/>
  <c r="H458" i="13" s="1"/>
  <c r="H459" i="13" s="1"/>
  <c r="H460" i="13" s="1"/>
  <c r="H461" i="13" s="1"/>
  <c r="H462" i="13" s="1"/>
  <c r="G452" i="13"/>
  <c r="P35" i="5"/>
  <c r="P34" i="5"/>
  <c r="P33" i="5"/>
  <c r="P32" i="5"/>
  <c r="R33" i="5"/>
  <c r="R32" i="5"/>
  <c r="S33" i="5" s="1"/>
  <c r="P71" i="5"/>
  <c r="R71" i="5" s="1"/>
  <c r="P70" i="5"/>
  <c r="R70" i="5" s="1"/>
  <c r="S71" i="5" s="1"/>
  <c r="C379" i="1"/>
  <c r="D379" i="1"/>
  <c r="B379" i="1"/>
  <c r="F378" i="1"/>
  <c r="F368" i="1"/>
  <c r="D368" i="1"/>
  <c r="E369" i="1"/>
  <c r="E370" i="1"/>
  <c r="E371" i="1"/>
  <c r="E372" i="1"/>
  <c r="E373" i="1"/>
  <c r="E374" i="1"/>
  <c r="E375" i="1"/>
  <c r="E376" i="1"/>
  <c r="E377" i="1"/>
  <c r="E378" i="1"/>
  <c r="E379" i="1"/>
  <c r="E368" i="1"/>
  <c r="C368" i="1"/>
  <c r="C366" i="1"/>
  <c r="E362" i="1"/>
  <c r="F364" i="1"/>
  <c r="C347" i="1"/>
  <c r="H373" i="1"/>
  <c r="B369" i="1"/>
  <c r="S363" i="1"/>
  <c r="F363" i="1"/>
  <c r="T363" i="1" s="1"/>
  <c r="C349" i="1"/>
  <c r="H347" i="1"/>
  <c r="D349" i="1"/>
  <c r="F349" i="1" s="1"/>
  <c r="F345" i="1"/>
  <c r="F344" i="1"/>
  <c r="H17" i="5"/>
  <c r="H16" i="5"/>
  <c r="E119" i="12"/>
  <c r="G55" i="5"/>
  <c r="F452" i="13"/>
  <c r="H452" i="13" s="1"/>
  <c r="J450" i="13"/>
  <c r="H444" i="13"/>
  <c r="H445" i="13" s="1"/>
  <c r="H446" i="13" s="1"/>
  <c r="H447" i="13" s="1"/>
  <c r="H448" i="13" s="1"/>
  <c r="H449" i="13" s="1"/>
  <c r="H450" i="13" s="1"/>
  <c r="H451" i="13" s="1"/>
  <c r="G441" i="13"/>
  <c r="H213" i="13"/>
  <c r="H214" i="13" s="1"/>
  <c r="H215" i="13" s="1"/>
  <c r="H216" i="13" s="1"/>
  <c r="H217" i="13" s="1"/>
  <c r="H218" i="13" s="1"/>
  <c r="G210" i="13"/>
  <c r="F210" i="13"/>
  <c r="H210" i="13"/>
  <c r="G17" i="5"/>
  <c r="G16" i="5"/>
  <c r="G46" i="5"/>
  <c r="G47" i="5"/>
  <c r="H202" i="13"/>
  <c r="H203" i="13"/>
  <c r="H204" i="13" s="1"/>
  <c r="H205" i="13" s="1"/>
  <c r="H206" i="13" s="1"/>
  <c r="H207" i="13" s="1"/>
  <c r="H208" i="13" s="1"/>
  <c r="H209" i="13" s="1"/>
  <c r="G427" i="13"/>
  <c r="F441" i="13"/>
  <c r="H441" i="13" s="1"/>
  <c r="H430" i="13"/>
  <c r="H431" i="13" s="1"/>
  <c r="H432" i="13" s="1"/>
  <c r="H433" i="13" s="1"/>
  <c r="H434" i="13" s="1"/>
  <c r="H435" i="13" s="1"/>
  <c r="H436" i="13" s="1"/>
  <c r="H437" i="13" s="1"/>
  <c r="H438" i="13" s="1"/>
  <c r="H439" i="13" s="1"/>
  <c r="H440" i="13" s="1"/>
  <c r="E103" i="12"/>
  <c r="F17" i="5"/>
  <c r="F16" i="5"/>
  <c r="P88" i="5"/>
  <c r="H418" i="13"/>
  <c r="H419" i="13" s="1"/>
  <c r="H420" i="13" s="1"/>
  <c r="H421" i="13" s="1"/>
  <c r="H422" i="13" s="1"/>
  <c r="H423" i="13" s="1"/>
  <c r="H424" i="13" s="1"/>
  <c r="H425" i="13" s="1"/>
  <c r="H426" i="13" s="1"/>
  <c r="F427" i="13"/>
  <c r="H427" i="13" s="1"/>
  <c r="H185" i="13"/>
  <c r="H186" i="13" s="1"/>
  <c r="H187" i="13" s="1"/>
  <c r="H188" i="13" s="1"/>
  <c r="H189" i="13" s="1"/>
  <c r="H190" i="13" s="1"/>
  <c r="H191" i="13" s="1"/>
  <c r="H192" i="13" s="1"/>
  <c r="H193" i="13" s="1"/>
  <c r="F199" i="13"/>
  <c r="E198" i="13"/>
  <c r="G194" i="13"/>
  <c r="G199" i="13" s="1"/>
  <c r="G415" i="13"/>
  <c r="F415" i="13"/>
  <c r="H415" i="13" s="1"/>
  <c r="H406" i="13"/>
  <c r="H407" i="13" s="1"/>
  <c r="H408" i="13" s="1"/>
  <c r="H409" i="13" s="1"/>
  <c r="H410" i="13" s="1"/>
  <c r="H411" i="13" s="1"/>
  <c r="H412" i="13" s="1"/>
  <c r="H413" i="13" s="1"/>
  <c r="H414" i="13" s="1"/>
  <c r="H175" i="13"/>
  <c r="H176" i="13" s="1"/>
  <c r="H177" i="13" s="1"/>
  <c r="H178" i="13" s="1"/>
  <c r="H179" i="13" s="1"/>
  <c r="H180" i="13" s="1"/>
  <c r="H181" i="13" s="1"/>
  <c r="F182" i="13"/>
  <c r="G182" i="13"/>
  <c r="E76" i="5"/>
  <c r="E100" i="5"/>
  <c r="E17" i="5"/>
  <c r="E16" i="5"/>
  <c r="E92" i="5"/>
  <c r="R92" i="5"/>
  <c r="H164" i="13"/>
  <c r="H165" i="13" s="1"/>
  <c r="H166" i="13" s="1"/>
  <c r="H167" i="13" s="1"/>
  <c r="H168" i="13" s="1"/>
  <c r="H169" i="13" s="1"/>
  <c r="G403" i="13"/>
  <c r="F403" i="13"/>
  <c r="H403" i="13"/>
  <c r="I11" i="5"/>
  <c r="D100" i="5"/>
  <c r="L92" i="5"/>
  <c r="K92" i="5"/>
  <c r="J92" i="5"/>
  <c r="H92" i="5"/>
  <c r="G92" i="5"/>
  <c r="F92" i="5"/>
  <c r="D92" i="5"/>
  <c r="S98" i="5"/>
  <c r="R98" i="5"/>
  <c r="P31" i="5"/>
  <c r="P30" i="5"/>
  <c r="P29" i="5"/>
  <c r="P28" i="5"/>
  <c r="P179" i="5"/>
  <c r="F73" i="5"/>
  <c r="G73" i="5"/>
  <c r="H73" i="5"/>
  <c r="I73" i="5"/>
  <c r="J73" i="5"/>
  <c r="K73" i="5"/>
  <c r="L73" i="5"/>
  <c r="M73" i="5"/>
  <c r="N73" i="5"/>
  <c r="O73" i="5"/>
  <c r="D35" i="5"/>
  <c r="S56" i="5"/>
  <c r="R56" i="5"/>
  <c r="T56" i="5" s="1"/>
  <c r="R31" i="5"/>
  <c r="R30" i="5"/>
  <c r="S31" i="5"/>
  <c r="P69" i="5"/>
  <c r="R69" i="5"/>
  <c r="P68" i="5"/>
  <c r="R68" i="5"/>
  <c r="S69" i="5"/>
  <c r="I400" i="13"/>
  <c r="C328" i="1"/>
  <c r="H328" i="1"/>
  <c r="H396" i="13"/>
  <c r="H397" i="13"/>
  <c r="H398" i="13"/>
  <c r="H399" i="13"/>
  <c r="H400" i="13"/>
  <c r="H401" i="13"/>
  <c r="H402" i="13"/>
  <c r="C330" i="1"/>
  <c r="D330" i="1"/>
  <c r="E330" i="1"/>
  <c r="F330" i="1"/>
  <c r="F326" i="1"/>
  <c r="F325" i="1"/>
  <c r="G170" i="13"/>
  <c r="G230" i="13" s="1"/>
  <c r="F170" i="13"/>
  <c r="F230" i="13" s="1"/>
  <c r="H230" i="13" s="1"/>
  <c r="P67" i="5"/>
  <c r="R67" i="5"/>
  <c r="P66" i="5"/>
  <c r="R66" i="5"/>
  <c r="S67" i="5"/>
  <c r="E41" i="5"/>
  <c r="F41" i="5"/>
  <c r="G41" i="5"/>
  <c r="H41" i="5"/>
  <c r="I41" i="5"/>
  <c r="J41" i="5"/>
  <c r="K41" i="5"/>
  <c r="L41" i="5"/>
  <c r="M41" i="5"/>
  <c r="N41" i="5"/>
  <c r="O41" i="5"/>
  <c r="C311" i="1"/>
  <c r="C309" i="1"/>
  <c r="D311" i="1"/>
  <c r="F311" i="1"/>
  <c r="F307" i="1"/>
  <c r="F306" i="1"/>
  <c r="E19" i="5"/>
  <c r="F19" i="5"/>
  <c r="G19" i="5"/>
  <c r="H19" i="5"/>
  <c r="I19" i="5"/>
  <c r="J19" i="5"/>
  <c r="K19" i="5"/>
  <c r="L19" i="5"/>
  <c r="M19" i="5"/>
  <c r="N19" i="5"/>
  <c r="O19" i="5"/>
  <c r="C19" i="5"/>
  <c r="D17" i="5"/>
  <c r="D16" i="5"/>
  <c r="D41" i="5"/>
  <c r="B153" i="7"/>
  <c r="H143" i="13"/>
  <c r="H144" i="13"/>
  <c r="H145" i="13"/>
  <c r="G295" i="13"/>
  <c r="O47" i="5"/>
  <c r="O46" i="5"/>
  <c r="G393" i="13"/>
  <c r="F393" i="13"/>
  <c r="H393" i="13"/>
  <c r="O170" i="5"/>
  <c r="P58" i="5"/>
  <c r="P12" i="5"/>
  <c r="E59" i="5"/>
  <c r="E73" i="5" s="1"/>
  <c r="D59" i="5"/>
  <c r="D73" i="5" s="1"/>
  <c r="P65" i="5"/>
  <c r="P63" i="5"/>
  <c r="P61" i="5"/>
  <c r="P59" i="5"/>
  <c r="G236" i="13"/>
  <c r="H234" i="13"/>
  <c r="G156" i="13"/>
  <c r="F157" i="13"/>
  <c r="G154" i="13"/>
  <c r="G151" i="13"/>
  <c r="G150" i="13"/>
  <c r="A43" i="5"/>
  <c r="D90" i="5"/>
  <c r="E90" i="5"/>
  <c r="F90" i="5"/>
  <c r="G90" i="5"/>
  <c r="H90" i="5"/>
  <c r="I90" i="5"/>
  <c r="J90" i="5"/>
  <c r="K90" i="5"/>
  <c r="L90" i="5"/>
  <c r="M90" i="5"/>
  <c r="N90" i="5"/>
  <c r="O90" i="5"/>
  <c r="C90" i="5"/>
  <c r="O105" i="5"/>
  <c r="N105" i="5"/>
  <c r="M105" i="5"/>
  <c r="L105" i="5"/>
  <c r="K105" i="5"/>
  <c r="J105" i="5"/>
  <c r="I105" i="5"/>
  <c r="H105" i="5"/>
  <c r="E105" i="5"/>
  <c r="D105" i="5"/>
  <c r="C105" i="5"/>
  <c r="P103" i="5"/>
  <c r="P102" i="5"/>
  <c r="P101" i="5"/>
  <c r="G105" i="5"/>
  <c r="P99" i="5"/>
  <c r="P98" i="5"/>
  <c r="P97" i="5"/>
  <c r="O95" i="5"/>
  <c r="N95" i="5"/>
  <c r="M95" i="5"/>
  <c r="L95" i="5"/>
  <c r="K95" i="5"/>
  <c r="J95" i="5"/>
  <c r="H95" i="5"/>
  <c r="G95" i="5"/>
  <c r="E95" i="5"/>
  <c r="I95" i="5"/>
  <c r="P87" i="5"/>
  <c r="P86" i="5"/>
  <c r="P85" i="5"/>
  <c r="P82" i="5"/>
  <c r="P81" i="5"/>
  <c r="P80" i="5"/>
  <c r="P79" i="5"/>
  <c r="P78" i="5"/>
  <c r="P77" i="5"/>
  <c r="G148" i="13"/>
  <c r="G149" i="13"/>
  <c r="I149" i="13"/>
  <c r="G147" i="13"/>
  <c r="O119" i="5"/>
  <c r="H383" i="13"/>
  <c r="H384" i="13"/>
  <c r="H385" i="13"/>
  <c r="H386" i="13"/>
  <c r="H387" i="13"/>
  <c r="H388" i="13"/>
  <c r="H389" i="13"/>
  <c r="H390" i="13"/>
  <c r="H391" i="13"/>
  <c r="H392" i="13"/>
  <c r="F134" i="5"/>
  <c r="G134" i="5"/>
  <c r="H134" i="5"/>
  <c r="I134" i="5"/>
  <c r="J134" i="5"/>
  <c r="K134" i="5"/>
  <c r="L134" i="5"/>
  <c r="M134" i="5"/>
  <c r="N134" i="5"/>
  <c r="O134" i="5"/>
  <c r="E134" i="5"/>
  <c r="O152" i="5"/>
  <c r="P64" i="5"/>
  <c r="P150" i="5"/>
  <c r="C292" i="1"/>
  <c r="C290" i="1"/>
  <c r="D292" i="1"/>
  <c r="F292" i="1"/>
  <c r="F288" i="1"/>
  <c r="F287" i="1"/>
  <c r="N47" i="5"/>
  <c r="N46" i="5"/>
  <c r="O114" i="5"/>
  <c r="P76" i="5"/>
  <c r="P75" i="5"/>
  <c r="P62" i="5"/>
  <c r="P60" i="5"/>
  <c r="D56" i="5"/>
  <c r="E54" i="5"/>
  <c r="E53" i="5"/>
  <c r="E52" i="5"/>
  <c r="E51" i="5"/>
  <c r="M47" i="5"/>
  <c r="L47" i="5"/>
  <c r="K47" i="5"/>
  <c r="J47" i="5"/>
  <c r="I47" i="5"/>
  <c r="H47" i="5"/>
  <c r="F47" i="5"/>
  <c r="E47" i="5"/>
  <c r="D47" i="5"/>
  <c r="P47" i="5"/>
  <c r="O49" i="5"/>
  <c r="N49" i="5"/>
  <c r="M46" i="5"/>
  <c r="M49" i="5"/>
  <c r="L46" i="5"/>
  <c r="L49" i="5"/>
  <c r="K46" i="5"/>
  <c r="K49" i="5"/>
  <c r="J46" i="5"/>
  <c r="J49" i="5"/>
  <c r="I46" i="5"/>
  <c r="I49" i="5"/>
  <c r="H46" i="5"/>
  <c r="H49" i="5"/>
  <c r="G49" i="5"/>
  <c r="F46" i="5"/>
  <c r="F49" i="5"/>
  <c r="E46" i="5"/>
  <c r="E49" i="5"/>
  <c r="D46" i="5"/>
  <c r="H373" i="13"/>
  <c r="H374" i="13"/>
  <c r="H375" i="13"/>
  <c r="H376" i="13"/>
  <c r="H377" i="13"/>
  <c r="H378" i="13"/>
  <c r="H379" i="13"/>
  <c r="G380" i="13"/>
  <c r="F380" i="13"/>
  <c r="H380" i="13"/>
  <c r="F370" i="13"/>
  <c r="G370" i="13"/>
  <c r="H370" i="13"/>
  <c r="H233" i="13"/>
  <c r="G153" i="13"/>
  <c r="P177" i="5"/>
  <c r="H359" i="13"/>
  <c r="H360" i="13"/>
  <c r="H361" i="13"/>
  <c r="H362" i="13"/>
  <c r="H363" i="13"/>
  <c r="H364" i="13"/>
  <c r="H365" i="13"/>
  <c r="H366" i="13"/>
  <c r="H367" i="13"/>
  <c r="H368" i="13"/>
  <c r="H369" i="13"/>
  <c r="G356" i="13"/>
  <c r="F356" i="13"/>
  <c r="H356" i="13"/>
  <c r="P11" i="5"/>
  <c r="P41" i="5"/>
  <c r="I124" i="13"/>
  <c r="I112" i="13"/>
  <c r="H346" i="13"/>
  <c r="H347" i="13"/>
  <c r="I118" i="5"/>
  <c r="G152" i="13"/>
  <c r="H348" i="13"/>
  <c r="H349" i="13"/>
  <c r="H350" i="13"/>
  <c r="H351" i="13"/>
  <c r="H352" i="13"/>
  <c r="H353" i="13"/>
  <c r="H354" i="13"/>
  <c r="H355" i="13"/>
  <c r="H335" i="13"/>
  <c r="H336" i="13"/>
  <c r="H337" i="13"/>
  <c r="H338" i="13"/>
  <c r="H339" i="13"/>
  <c r="H340" i="13"/>
  <c r="H341" i="13"/>
  <c r="H342" i="13"/>
  <c r="G343" i="13"/>
  <c r="F343" i="13"/>
  <c r="H343" i="13"/>
  <c r="H112" i="13"/>
  <c r="H113" i="13"/>
  <c r="H114" i="13"/>
  <c r="G16" i="13"/>
  <c r="AH159" i="6"/>
  <c r="AH162" i="6"/>
  <c r="AH163" i="6"/>
  <c r="AH164" i="6"/>
  <c r="AH165" i="6"/>
  <c r="AH166" i="6"/>
  <c r="AH167" i="6"/>
  <c r="AH168" i="6"/>
  <c r="AH169" i="6"/>
  <c r="AH170" i="6"/>
  <c r="AH171" i="6"/>
  <c r="AH160" i="6"/>
  <c r="AH161" i="6"/>
  <c r="F501" i="13"/>
  <c r="F502" i="13"/>
  <c r="F503" i="13"/>
  <c r="F504" i="13"/>
  <c r="F500" i="13"/>
  <c r="F505" i="13"/>
  <c r="H505" i="13"/>
  <c r="G491" i="13"/>
  <c r="G496" i="13"/>
  <c r="G495" i="13"/>
  <c r="G497" i="13"/>
  <c r="H497" i="13"/>
  <c r="G241" i="13"/>
  <c r="G239" i="13"/>
  <c r="G238" i="13"/>
  <c r="G237" i="13"/>
  <c r="G240" i="13"/>
  <c r="I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Z194" i="6"/>
  <c r="AA194" i="6"/>
  <c r="AB194" i="6"/>
  <c r="AC194" i="6"/>
  <c r="AD194" i="6"/>
  <c r="AE194" i="6"/>
  <c r="AF194" i="6"/>
  <c r="AG194" i="6"/>
  <c r="AH192" i="6"/>
  <c r="I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V190" i="6"/>
  <c r="W190" i="6"/>
  <c r="X190" i="6"/>
  <c r="Y190" i="6"/>
  <c r="Z190" i="6"/>
  <c r="AA190" i="6"/>
  <c r="AB190" i="6"/>
  <c r="AC190" i="6"/>
  <c r="AD190" i="6"/>
  <c r="AE190" i="6"/>
  <c r="AF190" i="6"/>
  <c r="AG190" i="6"/>
  <c r="AH188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Z186" i="6"/>
  <c r="AA186" i="6"/>
  <c r="AB186" i="6"/>
  <c r="AC186" i="6"/>
  <c r="AD186" i="6"/>
  <c r="AE186" i="6"/>
  <c r="AF186" i="6"/>
  <c r="AG186" i="6"/>
  <c r="AH184" i="6"/>
  <c r="AH180" i="6"/>
  <c r="AH175" i="6"/>
  <c r="P38" i="5"/>
  <c r="G253" i="13"/>
  <c r="G252" i="13"/>
  <c r="G251" i="13"/>
  <c r="G250" i="13"/>
  <c r="G249" i="13"/>
  <c r="G248" i="13"/>
  <c r="G247" i="13"/>
  <c r="G246" i="13"/>
  <c r="G256" i="13"/>
  <c r="G255" i="13"/>
  <c r="G254" i="13"/>
  <c r="G245" i="13"/>
  <c r="G244" i="13"/>
  <c r="G108" i="13"/>
  <c r="C107" i="13"/>
  <c r="G107" i="13"/>
  <c r="G103" i="13"/>
  <c r="G104" i="13"/>
  <c r="G105" i="13"/>
  <c r="G106" i="13"/>
  <c r="G101" i="13"/>
  <c r="G102" i="13"/>
  <c r="AE101" i="6"/>
  <c r="I170" i="5"/>
  <c r="G332" i="13"/>
  <c r="F332" i="13"/>
  <c r="H332" i="13"/>
  <c r="H326" i="13"/>
  <c r="H327" i="13"/>
  <c r="H328" i="13"/>
  <c r="H329" i="13"/>
  <c r="H330" i="13"/>
  <c r="H331" i="13"/>
  <c r="G96" i="13"/>
  <c r="G95" i="13"/>
  <c r="G94" i="13"/>
  <c r="G93" i="13"/>
  <c r="G97" i="13"/>
  <c r="AE134" i="6"/>
  <c r="AE129" i="6"/>
  <c r="AE138" i="6"/>
  <c r="AH114" i="6"/>
  <c r="AB112" i="6"/>
  <c r="AB138" i="6"/>
  <c r="AH138" i="6"/>
  <c r="AH179" i="6"/>
  <c r="AH111" i="6"/>
  <c r="AH110" i="6"/>
  <c r="AH115" i="6"/>
  <c r="AH116" i="6"/>
  <c r="AH117" i="6"/>
  <c r="AH119" i="6"/>
  <c r="AH118" i="6"/>
  <c r="AH113" i="6"/>
  <c r="AH112" i="6"/>
  <c r="AB78" i="6"/>
  <c r="AB104" i="6"/>
  <c r="AE94" i="6"/>
  <c r="AE104" i="6"/>
  <c r="I113" i="5"/>
  <c r="I114" i="5"/>
  <c r="AH121" i="6"/>
  <c r="AH122" i="6"/>
  <c r="AH123" i="6"/>
  <c r="AH124" i="6"/>
  <c r="AH125" i="6"/>
  <c r="AH126" i="6"/>
  <c r="AH127" i="6"/>
  <c r="AH128" i="6"/>
  <c r="AH120" i="6"/>
  <c r="AH104" i="6"/>
  <c r="AH76" i="6"/>
  <c r="AH79" i="6"/>
  <c r="AH78" i="6"/>
  <c r="AH130" i="6"/>
  <c r="AH131" i="6"/>
  <c r="AH132" i="6"/>
  <c r="AH133" i="6"/>
  <c r="AH129" i="6"/>
  <c r="AH80" i="6"/>
  <c r="AH134" i="6"/>
  <c r="AH142" i="6"/>
  <c r="AH145" i="6"/>
  <c r="AH146" i="6"/>
  <c r="AH75" i="6"/>
  <c r="AH147" i="6"/>
  <c r="AH148" i="6"/>
  <c r="AH149" i="6"/>
  <c r="AH150" i="6"/>
  <c r="AH151" i="6"/>
  <c r="AH152" i="6"/>
  <c r="AH153" i="6"/>
  <c r="AH154" i="6"/>
  <c r="AH135" i="6"/>
  <c r="AH143" i="6"/>
  <c r="AH144" i="6"/>
  <c r="AH81" i="6"/>
  <c r="AH82" i="6"/>
  <c r="AH83" i="6"/>
  <c r="AH84" i="6"/>
  <c r="AH77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Z182" i="6"/>
  <c r="AA182" i="6"/>
  <c r="AB182" i="6"/>
  <c r="AC182" i="6"/>
  <c r="AD182" i="6"/>
  <c r="AE182" i="6"/>
  <c r="AF182" i="6"/>
  <c r="AG182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Z177" i="6"/>
  <c r="AA177" i="6"/>
  <c r="AB177" i="6"/>
  <c r="AC177" i="6"/>
  <c r="AD177" i="6"/>
  <c r="AE177" i="6"/>
  <c r="AF177" i="6"/>
  <c r="AG177" i="6"/>
  <c r="AH177" i="6"/>
  <c r="AI177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Z173" i="6"/>
  <c r="AA173" i="6"/>
  <c r="AB173" i="6"/>
  <c r="AC173" i="6"/>
  <c r="AD173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Z156" i="6"/>
  <c r="AA156" i="6"/>
  <c r="AB156" i="6"/>
  <c r="AC156" i="6"/>
  <c r="AD156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Z140" i="6"/>
  <c r="AA140" i="6"/>
  <c r="AB140" i="6"/>
  <c r="AC140" i="6"/>
  <c r="AD140" i="6"/>
  <c r="AE140" i="6"/>
  <c r="AF140" i="6"/>
  <c r="AG140" i="6"/>
  <c r="AH140" i="6"/>
  <c r="AI140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AC106" i="6"/>
  <c r="AD106" i="6"/>
  <c r="AH136" i="6"/>
  <c r="AH158" i="6"/>
  <c r="AH86" i="6"/>
  <c r="AH87" i="6"/>
  <c r="AH88" i="6"/>
  <c r="AH89" i="6"/>
  <c r="AH90" i="6"/>
  <c r="AH91" i="6"/>
  <c r="AH92" i="6"/>
  <c r="AH93" i="6"/>
  <c r="AH85" i="6"/>
  <c r="B140" i="6"/>
  <c r="C140" i="6"/>
  <c r="D140" i="6"/>
  <c r="E140" i="6"/>
  <c r="F140" i="6"/>
  <c r="AE106" i="6"/>
  <c r="AF106" i="6"/>
  <c r="AG106" i="6"/>
  <c r="AH106" i="6"/>
  <c r="B173" i="6"/>
  <c r="AE156" i="6"/>
  <c r="AF156" i="6"/>
  <c r="B177" i="6"/>
  <c r="C177" i="6"/>
  <c r="D177" i="6"/>
  <c r="E177" i="6"/>
  <c r="F177" i="6"/>
  <c r="G177" i="6"/>
  <c r="AE173" i="6"/>
  <c r="AF173" i="6"/>
  <c r="AG173" i="6"/>
  <c r="AH173" i="6"/>
  <c r="AI173" i="6"/>
  <c r="AH95" i="6"/>
  <c r="AH96" i="6"/>
  <c r="AH97" i="6"/>
  <c r="AH98" i="6"/>
  <c r="AH99" i="6"/>
  <c r="AH94" i="6"/>
  <c r="F57" i="13"/>
  <c r="F70" i="13"/>
  <c r="AH100" i="6"/>
  <c r="H317" i="13"/>
  <c r="H318" i="13"/>
  <c r="H319" i="13"/>
  <c r="H320" i="13"/>
  <c r="H321" i="13"/>
  <c r="H322" i="13"/>
  <c r="H307" i="13"/>
  <c r="H308" i="13"/>
  <c r="H309" i="13"/>
  <c r="H310" i="13"/>
  <c r="H311" i="13"/>
  <c r="H312" i="13"/>
  <c r="H298" i="13"/>
  <c r="H299" i="13"/>
  <c r="H300" i="13"/>
  <c r="H301" i="13"/>
  <c r="H302" i="13"/>
  <c r="H303" i="13"/>
  <c r="AH102" i="6"/>
  <c r="AH101" i="6"/>
  <c r="G66" i="13"/>
  <c r="G68" i="13"/>
  <c r="G69" i="13"/>
  <c r="G62" i="13"/>
  <c r="G63" i="13"/>
  <c r="G64" i="13"/>
  <c r="G65" i="13"/>
  <c r="G61" i="13"/>
  <c r="D168" i="5"/>
  <c r="E168" i="5"/>
  <c r="F168" i="5"/>
  <c r="C168" i="5"/>
  <c r="G323" i="13"/>
  <c r="F323" i="13"/>
  <c r="H323" i="13"/>
  <c r="G125" i="5"/>
  <c r="H125" i="5"/>
  <c r="I125" i="5"/>
  <c r="J125" i="5"/>
  <c r="K125" i="5"/>
  <c r="L125" i="5"/>
  <c r="M125" i="5"/>
  <c r="N125" i="5"/>
  <c r="O125" i="5"/>
  <c r="G304" i="13"/>
  <c r="F304" i="13"/>
  <c r="H304" i="13"/>
  <c r="G313" i="13"/>
  <c r="F313" i="13"/>
  <c r="H313" i="13"/>
  <c r="G54" i="13"/>
  <c r="G146" i="13"/>
  <c r="G157" i="13"/>
  <c r="G137" i="13"/>
  <c r="G140" i="13"/>
  <c r="G127" i="13"/>
  <c r="G131" i="13"/>
  <c r="G115" i="13"/>
  <c r="G92" i="13"/>
  <c r="G109" i="13"/>
  <c r="G77" i="13"/>
  <c r="G86" i="13"/>
  <c r="G60" i="13"/>
  <c r="G70" i="13"/>
  <c r="F134" i="13"/>
  <c r="F140" i="13"/>
  <c r="H140" i="13"/>
  <c r="H124" i="13"/>
  <c r="H125" i="13"/>
  <c r="H126" i="13"/>
  <c r="H127" i="13"/>
  <c r="H128" i="13"/>
  <c r="H129" i="13"/>
  <c r="H130" i="13"/>
  <c r="F121" i="13"/>
  <c r="G44" i="13"/>
  <c r="F44" i="13"/>
  <c r="H44" i="13"/>
  <c r="F131" i="13"/>
  <c r="H131" i="13"/>
  <c r="H115" i="13"/>
  <c r="H116" i="13"/>
  <c r="H117" i="13"/>
  <c r="H118" i="13"/>
  <c r="H119" i="13"/>
  <c r="H120" i="13"/>
  <c r="G121" i="13"/>
  <c r="H121" i="13"/>
  <c r="G178" i="5"/>
  <c r="F178" i="5"/>
  <c r="D61" i="12"/>
  <c r="P155" i="5"/>
  <c r="P156" i="5"/>
  <c r="P157" i="5"/>
  <c r="P158" i="5"/>
  <c r="P159" i="5"/>
  <c r="P160" i="5"/>
  <c r="P163" i="5"/>
  <c r="P164" i="5"/>
  <c r="P165" i="5"/>
  <c r="P166" i="5"/>
  <c r="P132" i="5"/>
  <c r="G162" i="5"/>
  <c r="G161" i="5"/>
  <c r="H161" i="5"/>
  <c r="G168" i="5"/>
  <c r="H162" i="5"/>
  <c r="I162" i="5"/>
  <c r="J162" i="5"/>
  <c r="K162" i="5"/>
  <c r="D57" i="12"/>
  <c r="H128" i="5"/>
  <c r="I128" i="5"/>
  <c r="J128" i="5"/>
  <c r="K128" i="5"/>
  <c r="L128" i="5"/>
  <c r="M128" i="5"/>
  <c r="N128" i="5"/>
  <c r="O128" i="5"/>
  <c r="G128" i="5"/>
  <c r="P126" i="5"/>
  <c r="I161" i="5"/>
  <c r="H168" i="5"/>
  <c r="D26" i="5"/>
  <c r="J161" i="5"/>
  <c r="I168" i="5"/>
  <c r="I187" i="5"/>
  <c r="E26" i="5"/>
  <c r="E118" i="5"/>
  <c r="G118" i="5"/>
  <c r="M118" i="5"/>
  <c r="N118" i="5"/>
  <c r="O118" i="5"/>
  <c r="K161" i="5"/>
  <c r="J168" i="5"/>
  <c r="P23" i="5"/>
  <c r="P22" i="5"/>
  <c r="F26" i="5"/>
  <c r="K168" i="5"/>
  <c r="G26" i="5"/>
  <c r="P24" i="5"/>
  <c r="O35" i="5"/>
  <c r="E35" i="5"/>
  <c r="F35" i="5"/>
  <c r="G35" i="5"/>
  <c r="H35" i="5"/>
  <c r="I35" i="5"/>
  <c r="J35" i="5"/>
  <c r="K35" i="5"/>
  <c r="L35" i="5"/>
  <c r="M35" i="5"/>
  <c r="N35" i="5"/>
  <c r="G152" i="5"/>
  <c r="E152" i="5"/>
  <c r="F152" i="5"/>
  <c r="H152" i="5"/>
  <c r="I152" i="5"/>
  <c r="J152" i="5"/>
  <c r="K152" i="5"/>
  <c r="L152" i="5"/>
  <c r="M152" i="5"/>
  <c r="N152" i="5"/>
  <c r="D152" i="5"/>
  <c r="P149" i="5"/>
  <c r="H26" i="5"/>
  <c r="C273" i="1"/>
  <c r="C271" i="1"/>
  <c r="D273" i="1"/>
  <c r="F273" i="1"/>
  <c r="H270" i="1"/>
  <c r="F269" i="1"/>
  <c r="F268" i="1"/>
  <c r="I26" i="5"/>
  <c r="C274" i="1"/>
  <c r="E273" i="1"/>
  <c r="D274" i="1"/>
  <c r="F274" i="1"/>
  <c r="J26" i="5"/>
  <c r="C275" i="1"/>
  <c r="E274" i="1"/>
  <c r="D275" i="1"/>
  <c r="F275" i="1"/>
  <c r="K26" i="5"/>
  <c r="C276" i="1"/>
  <c r="E275" i="1"/>
  <c r="D276" i="1"/>
  <c r="F276" i="1"/>
  <c r="F19" i="13"/>
  <c r="H19" i="13"/>
  <c r="H20" i="13"/>
  <c r="F21" i="13"/>
  <c r="H21" i="13"/>
  <c r="H22" i="13"/>
  <c r="H23" i="13"/>
  <c r="H24" i="13"/>
  <c r="H25" i="13"/>
  <c r="H26" i="13"/>
  <c r="H27" i="13"/>
  <c r="H28" i="13"/>
  <c r="H29" i="13"/>
  <c r="H30" i="13"/>
  <c r="L26" i="5"/>
  <c r="C277" i="1"/>
  <c r="E276" i="1"/>
  <c r="D277" i="1"/>
  <c r="F277" i="1"/>
  <c r="F89" i="13"/>
  <c r="F73" i="13"/>
  <c r="G31" i="13"/>
  <c r="F31" i="13"/>
  <c r="F51" i="12"/>
  <c r="F171" i="5"/>
  <c r="P131" i="5"/>
  <c r="P130" i="5"/>
  <c r="P134" i="5"/>
  <c r="P147" i="5"/>
  <c r="P148" i="5"/>
  <c r="F128" i="5"/>
  <c r="E128" i="5"/>
  <c r="D128" i="5"/>
  <c r="P125" i="5"/>
  <c r="P128" i="5"/>
  <c r="C254" i="1"/>
  <c r="F250" i="1"/>
  <c r="C252" i="1"/>
  <c r="D254" i="1"/>
  <c r="F254" i="1"/>
  <c r="F249" i="1"/>
  <c r="E254" i="1"/>
  <c r="C255" i="1"/>
  <c r="G284" i="13"/>
  <c r="F284" i="13"/>
  <c r="G270" i="13"/>
  <c r="F270" i="13"/>
  <c r="H270" i="13"/>
  <c r="H276" i="13"/>
  <c r="H277" i="13"/>
  <c r="H278" i="13"/>
  <c r="H279" i="13"/>
  <c r="H280" i="13"/>
  <c r="H281" i="13"/>
  <c r="H282" i="13"/>
  <c r="H6" i="13"/>
  <c r="H7" i="13"/>
  <c r="H8" i="13"/>
  <c r="H9" i="13"/>
  <c r="H10" i="13"/>
  <c r="H11" i="13"/>
  <c r="H12" i="13"/>
  <c r="D255" i="1"/>
  <c r="H284" i="13"/>
  <c r="H295" i="13"/>
  <c r="F231" i="1"/>
  <c r="E229" i="1"/>
  <c r="C235" i="1"/>
  <c r="C233" i="1"/>
  <c r="F230" i="1"/>
  <c r="D235" i="1"/>
  <c r="F235" i="1"/>
  <c r="C236" i="1"/>
  <c r="E235" i="1"/>
  <c r="D236" i="1"/>
  <c r="F236" i="1"/>
  <c r="C237" i="1"/>
  <c r="E236" i="1"/>
  <c r="D237" i="1"/>
  <c r="F237" i="1"/>
  <c r="C238" i="1"/>
  <c r="E237" i="1"/>
  <c r="D238" i="1"/>
  <c r="F238" i="1"/>
  <c r="C239" i="1"/>
  <c r="E238" i="1"/>
  <c r="D239" i="1"/>
  <c r="F239" i="1"/>
  <c r="F13" i="13"/>
  <c r="F16" i="13"/>
  <c r="C240" i="1"/>
  <c r="E239" i="1"/>
  <c r="D240" i="1"/>
  <c r="F240" i="1"/>
  <c r="I16" i="13"/>
  <c r="C241" i="1"/>
  <c r="E240" i="1"/>
  <c r="D241" i="1"/>
  <c r="F241" i="1"/>
  <c r="C242" i="1"/>
  <c r="E241" i="1"/>
  <c r="D242" i="1"/>
  <c r="F242" i="1"/>
  <c r="H264" i="13"/>
  <c r="H265" i="13"/>
  <c r="H266" i="13"/>
  <c r="H267" i="13"/>
  <c r="H268" i="13"/>
  <c r="C243" i="1"/>
  <c r="E242" i="1"/>
  <c r="D243" i="1"/>
  <c r="F243" i="1"/>
  <c r="O219" i="5"/>
  <c r="E119" i="5"/>
  <c r="C244" i="1"/>
  <c r="E243" i="1"/>
  <c r="D244" i="1"/>
  <c r="F244" i="1"/>
  <c r="C245" i="1"/>
  <c r="E244" i="1"/>
  <c r="D245" i="1"/>
  <c r="F245" i="1"/>
  <c r="D170" i="5"/>
  <c r="C246" i="1"/>
  <c r="E245" i="1"/>
  <c r="D246" i="1"/>
  <c r="F246" i="1"/>
  <c r="D113" i="5"/>
  <c r="D116" i="5"/>
  <c r="E246" i="1"/>
  <c r="B29" i="10" a="1"/>
  <c r="B29" i="10"/>
  <c r="B28" i="10" a="1"/>
  <c r="B28" i="10"/>
  <c r="K40" i="5"/>
  <c r="K42" i="5"/>
  <c r="J40" i="5"/>
  <c r="J42" i="5"/>
  <c r="I40" i="5"/>
  <c r="I42" i="5"/>
  <c r="H40" i="5"/>
  <c r="H42" i="5"/>
  <c r="G40" i="5"/>
  <c r="G42" i="5"/>
  <c r="F40" i="5"/>
  <c r="F42" i="5"/>
  <c r="E40" i="5"/>
  <c r="E42" i="5"/>
  <c r="H126" i="1"/>
  <c r="C121" i="1"/>
  <c r="D121" i="1"/>
  <c r="F121" i="1"/>
  <c r="B122" i="1"/>
  <c r="C122" i="1"/>
  <c r="D122" i="1"/>
  <c r="O113" i="5"/>
  <c r="C216" i="1"/>
  <c r="K11" i="12"/>
  <c r="L11" i="12"/>
  <c r="M11" i="12"/>
  <c r="N11" i="12"/>
  <c r="O11" i="12"/>
  <c r="P11" i="12"/>
  <c r="Q11" i="12"/>
  <c r="R11" i="12"/>
  <c r="S11" i="12"/>
  <c r="J11" i="12"/>
  <c r="N114" i="5"/>
  <c r="N113" i="5"/>
  <c r="N265" i="5"/>
  <c r="C197" i="1"/>
  <c r="M265" i="5"/>
  <c r="C48" i="6"/>
  <c r="B47" i="6"/>
  <c r="C47" i="6"/>
  <c r="D47" i="6"/>
  <c r="E47" i="6"/>
  <c r="F47" i="6"/>
  <c r="G47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AI49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AI59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I46" i="6"/>
  <c r="B62" i="6"/>
  <c r="C62" i="6"/>
  <c r="D62" i="6"/>
  <c r="E62" i="6"/>
  <c r="F62" i="6"/>
  <c r="G62" i="6"/>
  <c r="AE61" i="6"/>
  <c r="AF61" i="6"/>
  <c r="AG61" i="6"/>
  <c r="AH61" i="6"/>
  <c r="AI61" i="6"/>
  <c r="B61" i="6"/>
  <c r="AE60" i="6"/>
  <c r="AF60" i="6"/>
  <c r="B59" i="6"/>
  <c r="C59" i="6"/>
  <c r="D59" i="6"/>
  <c r="E59" i="6"/>
  <c r="F59" i="6"/>
  <c r="AE58" i="6"/>
  <c r="AF58" i="6"/>
  <c r="AG58" i="6"/>
  <c r="AH58" i="6"/>
  <c r="B49" i="6"/>
  <c r="C49" i="6"/>
  <c r="D49" i="6"/>
  <c r="E49" i="6"/>
  <c r="AE48" i="6"/>
  <c r="AF48" i="6"/>
  <c r="AG48" i="6"/>
  <c r="B46" i="6"/>
  <c r="C46" i="6"/>
  <c r="D46" i="6"/>
  <c r="E46" i="6"/>
  <c r="F46" i="6"/>
  <c r="AE45" i="6"/>
  <c r="AF45" i="6"/>
  <c r="AG45" i="6"/>
  <c r="AH45" i="6"/>
  <c r="B192" i="5"/>
  <c r="N246" i="5"/>
  <c r="O246" i="5"/>
  <c r="M246" i="5"/>
  <c r="P244" i="5"/>
  <c r="P208" i="5"/>
  <c r="O210" i="5"/>
  <c r="N210" i="5"/>
  <c r="P146" i="5"/>
  <c r="C214" i="1"/>
  <c r="D216" i="1"/>
  <c r="F216" i="1"/>
  <c r="C217" i="1"/>
  <c r="H213" i="1"/>
  <c r="F212" i="1"/>
  <c r="F211" i="1"/>
  <c r="M114" i="5"/>
  <c r="M113" i="5"/>
  <c r="M210" i="5"/>
  <c r="P145" i="5"/>
  <c r="C195" i="1"/>
  <c r="E197" i="1"/>
  <c r="D197" i="1"/>
  <c r="P207" i="5"/>
  <c r="F193" i="1"/>
  <c r="F192" i="1"/>
  <c r="D184" i="5"/>
  <c r="E184" i="5"/>
  <c r="F184" i="5"/>
  <c r="G184" i="5"/>
  <c r="H184" i="5"/>
  <c r="I184" i="5"/>
  <c r="J184" i="5"/>
  <c r="K184" i="5"/>
  <c r="L184" i="5"/>
  <c r="M184" i="5"/>
  <c r="N184" i="5"/>
  <c r="O184" i="5"/>
  <c r="P175" i="5"/>
  <c r="P176" i="5"/>
  <c r="P178" i="5"/>
  <c r="P180" i="5"/>
  <c r="P181" i="5"/>
  <c r="P182" i="5"/>
  <c r="C184" i="5"/>
  <c r="O173" i="5"/>
  <c r="N173" i="5"/>
  <c r="M173" i="5"/>
  <c r="L173" i="5"/>
  <c r="K173" i="5"/>
  <c r="J173" i="5"/>
  <c r="I173" i="5"/>
  <c r="G173" i="5"/>
  <c r="F173" i="5"/>
  <c r="E173" i="5"/>
  <c r="D173" i="5"/>
  <c r="P170" i="5"/>
  <c r="H173" i="5"/>
  <c r="P171" i="5"/>
  <c r="P261" i="5"/>
  <c r="L265" i="5"/>
  <c r="L114" i="5"/>
  <c r="L113" i="5"/>
  <c r="L210" i="5"/>
  <c r="J246" i="5"/>
  <c r="K246" i="5"/>
  <c r="L246" i="5"/>
  <c r="K210" i="5"/>
  <c r="P243" i="5"/>
  <c r="P8" i="5"/>
  <c r="K265" i="5"/>
  <c r="K114" i="5"/>
  <c r="K113" i="5"/>
  <c r="K116" i="5"/>
  <c r="P137" i="5"/>
  <c r="P138" i="5"/>
  <c r="P139" i="5"/>
  <c r="P140" i="5"/>
  <c r="P141" i="5"/>
  <c r="P142" i="5"/>
  <c r="P143" i="5"/>
  <c r="P144" i="5"/>
  <c r="P136" i="5"/>
  <c r="P152" i="5"/>
  <c r="P206" i="5"/>
  <c r="P205" i="5"/>
  <c r="P192" i="5"/>
  <c r="P193" i="5"/>
  <c r="P194" i="5"/>
  <c r="P195" i="5"/>
  <c r="P196" i="5"/>
  <c r="P197" i="5"/>
  <c r="P198" i="5"/>
  <c r="P203" i="5"/>
  <c r="P204" i="5"/>
  <c r="P199" i="5"/>
  <c r="G200" i="5"/>
  <c r="P200" i="5"/>
  <c r="P201" i="5"/>
  <c r="P202" i="5"/>
  <c r="C241" i="5"/>
  <c r="P37" i="5"/>
  <c r="C413" i="1"/>
  <c r="E410" i="1"/>
  <c r="B417" i="1"/>
  <c r="C417" i="1"/>
  <c r="B403" i="1"/>
  <c r="C403" i="1"/>
  <c r="C399" i="1"/>
  <c r="E405" i="1"/>
  <c r="C389" i="1"/>
  <c r="D389" i="1"/>
  <c r="F383" i="1"/>
  <c r="F385" i="1"/>
  <c r="C176" i="1"/>
  <c r="F197" i="1"/>
  <c r="C198" i="1"/>
  <c r="D178" i="1"/>
  <c r="F178" i="1"/>
  <c r="C179" i="1"/>
  <c r="F174" i="1"/>
  <c r="S173" i="1"/>
  <c r="F173" i="1"/>
  <c r="T173" i="1"/>
  <c r="C119" i="1"/>
  <c r="E418" i="1"/>
  <c r="E419" i="1"/>
  <c r="E420" i="1"/>
  <c r="E421" i="1"/>
  <c r="E422" i="1"/>
  <c r="E417" i="1"/>
  <c r="E424" i="1"/>
  <c r="J265" i="5"/>
  <c r="J114" i="5"/>
  <c r="J113" i="5"/>
  <c r="J210" i="5"/>
  <c r="P242" i="5"/>
  <c r="I219" i="5"/>
  <c r="K219" i="5"/>
  <c r="I217" i="5"/>
  <c r="K217" i="5"/>
  <c r="M217" i="5"/>
  <c r="C210" i="5"/>
  <c r="E113" i="5"/>
  <c r="E114" i="5"/>
  <c r="E116" i="5"/>
  <c r="E120" i="5"/>
  <c r="F120" i="5"/>
  <c r="E121" i="5"/>
  <c r="F121" i="5"/>
  <c r="F113" i="5"/>
  <c r="F114" i="5"/>
  <c r="F119" i="5"/>
  <c r="G113" i="5"/>
  <c r="G114" i="5"/>
  <c r="H120" i="5"/>
  <c r="H121" i="5"/>
  <c r="J121" i="5"/>
  <c r="H113" i="5"/>
  <c r="H114" i="5"/>
  <c r="H116" i="5"/>
  <c r="I116" i="5"/>
  <c r="L116" i="5"/>
  <c r="M116" i="5"/>
  <c r="N116" i="5"/>
  <c r="O116" i="5"/>
  <c r="D123" i="5"/>
  <c r="P231" i="5"/>
  <c r="P232" i="5"/>
  <c r="P233" i="5"/>
  <c r="P234" i="5"/>
  <c r="P235" i="5"/>
  <c r="P236" i="5"/>
  <c r="P237" i="5"/>
  <c r="P239" i="5"/>
  <c r="P240" i="5"/>
  <c r="P230" i="5"/>
  <c r="H258" i="5"/>
  <c r="H263" i="5"/>
  <c r="H249" i="5"/>
  <c r="P249" i="5"/>
  <c r="P248" i="5"/>
  <c r="P251" i="5"/>
  <c r="I238" i="5"/>
  <c r="I246" i="5"/>
  <c r="H238" i="5"/>
  <c r="H246" i="5"/>
  <c r="G238" i="5"/>
  <c r="G246" i="5"/>
  <c r="E258" i="5"/>
  <c r="E263" i="5"/>
  <c r="D258" i="5"/>
  <c r="P258" i="5"/>
  <c r="P10" i="5"/>
  <c r="G220" i="5"/>
  <c r="H220" i="5"/>
  <c r="K220" i="5"/>
  <c r="M220" i="5"/>
  <c r="N220" i="5"/>
  <c r="G221" i="5"/>
  <c r="H221" i="5"/>
  <c r="J221" i="5"/>
  <c r="K221" i="5"/>
  <c r="L221" i="5"/>
  <c r="M221" i="5"/>
  <c r="N221" i="5"/>
  <c r="O221" i="5"/>
  <c r="E220" i="5"/>
  <c r="E221" i="5"/>
  <c r="E223" i="5"/>
  <c r="F223" i="5"/>
  <c r="I223" i="5"/>
  <c r="D217" i="5"/>
  <c r="P218" i="5"/>
  <c r="D223" i="5"/>
  <c r="G265" i="5"/>
  <c r="F265" i="5"/>
  <c r="E265" i="5"/>
  <c r="F263" i="5"/>
  <c r="G263" i="5"/>
  <c r="I263" i="5"/>
  <c r="J263" i="5"/>
  <c r="K263" i="5"/>
  <c r="L263" i="5"/>
  <c r="L268" i="5"/>
  <c r="M263" i="5"/>
  <c r="N263" i="5"/>
  <c r="N268" i="5"/>
  <c r="O263" i="5"/>
  <c r="O268" i="5"/>
  <c r="P253" i="5"/>
  <c r="P254" i="5"/>
  <c r="P255" i="5"/>
  <c r="P256" i="5"/>
  <c r="P257" i="5"/>
  <c r="P259" i="5"/>
  <c r="P260" i="5"/>
  <c r="D263" i="5"/>
  <c r="B83" i="1"/>
  <c r="D78" i="1"/>
  <c r="C81" i="1"/>
  <c r="C83" i="1"/>
  <c r="F81" i="1"/>
  <c r="F79" i="1"/>
  <c r="F78" i="1"/>
  <c r="H210" i="5"/>
  <c r="I210" i="5"/>
  <c r="G210" i="5"/>
  <c r="F210" i="5"/>
  <c r="P154" i="5"/>
  <c r="D157" i="1"/>
  <c r="B159" i="1"/>
  <c r="D154" i="1"/>
  <c r="C157" i="1"/>
  <c r="C159" i="1"/>
  <c r="F155" i="1"/>
  <c r="S154" i="1"/>
  <c r="E251" i="5"/>
  <c r="F251" i="5"/>
  <c r="G251" i="5"/>
  <c r="I251" i="5"/>
  <c r="J251" i="5"/>
  <c r="K251" i="5"/>
  <c r="L251" i="5"/>
  <c r="M251" i="5"/>
  <c r="N251" i="5"/>
  <c r="O251" i="5"/>
  <c r="D251" i="5"/>
  <c r="D135" i="1"/>
  <c r="C138" i="1"/>
  <c r="B140" i="1"/>
  <c r="C140" i="1"/>
  <c r="F136" i="1"/>
  <c r="S135" i="1"/>
  <c r="F117" i="1"/>
  <c r="F116" i="1"/>
  <c r="T116" i="1"/>
  <c r="S116" i="1"/>
  <c r="E210" i="5"/>
  <c r="D210" i="5"/>
  <c r="C100" i="1"/>
  <c r="C102" i="1"/>
  <c r="F100" i="1"/>
  <c r="V100" i="1"/>
  <c r="F98" i="1"/>
  <c r="S97" i="1"/>
  <c r="V81" i="1"/>
  <c r="T78" i="1"/>
  <c r="S78" i="1"/>
  <c r="C62" i="1"/>
  <c r="D64" i="1"/>
  <c r="F64" i="1"/>
  <c r="C64" i="1"/>
  <c r="F62" i="1"/>
  <c r="V62" i="1"/>
  <c r="F60" i="1"/>
  <c r="F59" i="1"/>
  <c r="T59" i="1"/>
  <c r="S59" i="1"/>
  <c r="C43" i="1"/>
  <c r="C45" i="1"/>
  <c r="D45" i="1"/>
  <c r="F45" i="1"/>
  <c r="C46" i="1"/>
  <c r="E45" i="1"/>
  <c r="N45" i="1"/>
  <c r="F41" i="1"/>
  <c r="F40" i="1"/>
  <c r="T40" i="1"/>
  <c r="S40" i="1"/>
  <c r="C24" i="1"/>
  <c r="D26" i="1"/>
  <c r="F26" i="1"/>
  <c r="N26" i="1"/>
  <c r="C26" i="1"/>
  <c r="F22" i="1"/>
  <c r="F21" i="1"/>
  <c r="T21" i="1"/>
  <c r="S21" i="1"/>
  <c r="M212" i="5"/>
  <c r="M213" i="5"/>
  <c r="O302" i="5"/>
  <c r="O212" i="5"/>
  <c r="O213" i="5"/>
  <c r="D238" i="5"/>
  <c r="D246" i="5"/>
  <c r="D268" i="5"/>
  <c r="E238" i="5"/>
  <c r="E246" i="5"/>
  <c r="F238" i="5"/>
  <c r="F246" i="5"/>
  <c r="F268" i="5"/>
  <c r="O308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33" i="5"/>
  <c r="D333" i="5"/>
  <c r="E333" i="5"/>
  <c r="F330" i="5"/>
  <c r="F333" i="5"/>
  <c r="G330" i="5"/>
  <c r="G331" i="5"/>
  <c r="G333" i="5"/>
  <c r="H330" i="5"/>
  <c r="H333" i="5"/>
  <c r="I330" i="5"/>
  <c r="I333" i="5"/>
  <c r="J330" i="5"/>
  <c r="J332" i="5"/>
  <c r="K330" i="5"/>
  <c r="K333" i="5"/>
  <c r="L333" i="5"/>
  <c r="M332" i="5"/>
  <c r="M333" i="5"/>
  <c r="N330" i="5"/>
  <c r="N333" i="5"/>
  <c r="C333" i="5"/>
  <c r="E325" i="5"/>
  <c r="F325" i="5"/>
  <c r="G325" i="5"/>
  <c r="H325" i="5"/>
  <c r="I325" i="5"/>
  <c r="J325" i="5"/>
  <c r="K325" i="5"/>
  <c r="L325" i="5"/>
  <c r="M325" i="5"/>
  <c r="N325" i="5"/>
  <c r="O325" i="5"/>
  <c r="D325" i="5"/>
  <c r="C325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40" i="5"/>
  <c r="J268" i="5"/>
  <c r="M268" i="5"/>
  <c r="D215" i="5"/>
  <c r="E215" i="5"/>
  <c r="F215" i="5"/>
  <c r="G215" i="5"/>
  <c r="H212" i="5"/>
  <c r="I212" i="5"/>
  <c r="I215" i="5"/>
  <c r="I267" i="5"/>
  <c r="J212" i="5"/>
  <c r="J215" i="5"/>
  <c r="K215" i="5"/>
  <c r="L215" i="5"/>
  <c r="M215" i="5"/>
  <c r="N212" i="5"/>
  <c r="N213" i="5"/>
  <c r="P213" i="5"/>
  <c r="P322" i="5"/>
  <c r="P323" i="5"/>
  <c r="E228" i="5"/>
  <c r="F228" i="5"/>
  <c r="G228" i="5"/>
  <c r="H228" i="5"/>
  <c r="I228" i="5"/>
  <c r="J228" i="5"/>
  <c r="K228" i="5"/>
  <c r="L228" i="5"/>
  <c r="M228" i="5"/>
  <c r="N228" i="5"/>
  <c r="O228" i="5"/>
  <c r="P225" i="5"/>
  <c r="P226" i="5"/>
  <c r="P228" i="5"/>
  <c r="D228" i="5"/>
  <c r="P3" i="5"/>
  <c r="P4" i="5"/>
  <c r="P6" i="5"/>
  <c r="P7" i="5"/>
  <c r="P5" i="5"/>
  <c r="P9" i="5"/>
  <c r="P2" i="5"/>
  <c r="C223" i="5"/>
  <c r="M296" i="5"/>
  <c r="N296" i="5"/>
  <c r="O296" i="5"/>
  <c r="M293" i="5"/>
  <c r="N293" i="5"/>
  <c r="O293" i="5"/>
  <c r="N335" i="5"/>
  <c r="P335" i="5"/>
  <c r="O297" i="5"/>
  <c r="M302" i="5"/>
  <c r="P302" i="5"/>
  <c r="P287" i="5"/>
  <c r="P307" i="5"/>
  <c r="P310" i="5"/>
  <c r="J343" i="5"/>
  <c r="K337" i="5"/>
  <c r="E345" i="5"/>
  <c r="F273" i="5"/>
  <c r="P273" i="5"/>
  <c r="F280" i="5"/>
  <c r="G345" i="5"/>
  <c r="H345" i="5"/>
  <c r="I345" i="5"/>
  <c r="J345" i="5"/>
  <c r="K345" i="5"/>
  <c r="L345" i="5"/>
  <c r="M345" i="5"/>
  <c r="N345" i="5"/>
  <c r="O345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D345" i="5"/>
  <c r="P305" i="5"/>
  <c r="P306" i="5"/>
  <c r="C5" i="1"/>
  <c r="D7" i="1"/>
  <c r="F7" i="1"/>
  <c r="N7" i="1"/>
  <c r="C7" i="1"/>
  <c r="F3" i="1"/>
  <c r="S2" i="1"/>
  <c r="I296" i="5"/>
  <c r="I338" i="5"/>
  <c r="P338" i="5"/>
  <c r="P343" i="5"/>
  <c r="I303" i="5"/>
  <c r="P321" i="5"/>
  <c r="P298" i="5"/>
  <c r="P299" i="5"/>
  <c r="H297" i="5"/>
  <c r="P339" i="5"/>
  <c r="E346" i="5"/>
  <c r="E347" i="5"/>
  <c r="F290" i="5"/>
  <c r="F346" i="5"/>
  <c r="F347" i="5"/>
  <c r="G346" i="5"/>
  <c r="G347" i="5"/>
  <c r="H346" i="5"/>
  <c r="I346" i="5"/>
  <c r="I347" i="5"/>
  <c r="I349" i="5"/>
  <c r="J346" i="5"/>
  <c r="J347" i="5"/>
  <c r="K346" i="5"/>
  <c r="K347" i="5"/>
  <c r="L346" i="5"/>
  <c r="L347" i="5"/>
  <c r="L349" i="5"/>
  <c r="M346" i="5"/>
  <c r="M347" i="5"/>
  <c r="N346" i="5"/>
  <c r="N347" i="5"/>
  <c r="N349" i="5"/>
  <c r="O346" i="5"/>
  <c r="O347" i="5"/>
  <c r="D346" i="5"/>
  <c r="D347" i="5"/>
  <c r="H337" i="5"/>
  <c r="P303" i="5"/>
  <c r="E337" i="5"/>
  <c r="E350" i="5"/>
  <c r="F337" i="5"/>
  <c r="G337" i="5"/>
  <c r="H350" i="5"/>
  <c r="I337" i="5"/>
  <c r="I350" i="5"/>
  <c r="J337" i="5"/>
  <c r="K350" i="5"/>
  <c r="L337" i="5"/>
  <c r="L350" i="5"/>
  <c r="M337" i="5"/>
  <c r="M350" i="5"/>
  <c r="N337" i="5"/>
  <c r="N350" i="5"/>
  <c r="O337" i="5"/>
  <c r="O350" i="5"/>
  <c r="P290" i="5"/>
  <c r="P346" i="5"/>
  <c r="P292" i="5"/>
  <c r="P293" i="5"/>
  <c r="P294" i="5"/>
  <c r="P295" i="5"/>
  <c r="P296" i="5"/>
  <c r="P311" i="5"/>
  <c r="P312" i="5"/>
  <c r="P313" i="5"/>
  <c r="P314" i="5"/>
  <c r="P315" i="5"/>
  <c r="P316" i="5"/>
  <c r="P317" i="5"/>
  <c r="P318" i="5"/>
  <c r="P331" i="5"/>
  <c r="P332" i="5"/>
  <c r="P336" i="5"/>
  <c r="D337" i="5"/>
  <c r="O58" i="7"/>
  <c r="O8" i="7"/>
  <c r="O53" i="7"/>
  <c r="O85" i="7"/>
  <c r="Q83" i="7"/>
  <c r="O83" i="7"/>
  <c r="O76" i="7"/>
  <c r="B76" i="7"/>
  <c r="O19" i="7"/>
  <c r="O70" i="7"/>
  <c r="O69" i="7"/>
  <c r="O15" i="7"/>
  <c r="O13" i="7"/>
  <c r="O25" i="7"/>
  <c r="O20" i="7"/>
  <c r="O47" i="7"/>
  <c r="P238" i="5"/>
  <c r="P210" i="5"/>
  <c r="N351" i="5"/>
  <c r="M349" i="5"/>
  <c r="K349" i="5"/>
  <c r="J349" i="5"/>
  <c r="P345" i="5"/>
  <c r="N215" i="5"/>
  <c r="G350" i="5"/>
  <c r="O215" i="5"/>
  <c r="D83" i="1"/>
  <c r="P265" i="5"/>
  <c r="G268" i="5"/>
  <c r="I268" i="5"/>
  <c r="H268" i="5"/>
  <c r="G116" i="5"/>
  <c r="E404" i="1"/>
  <c r="E403" i="1"/>
  <c r="K268" i="5"/>
  <c r="O349" i="5"/>
  <c r="O351" i="5"/>
  <c r="F267" i="5"/>
  <c r="H223" i="5"/>
  <c r="G223" i="5"/>
  <c r="F269" i="5"/>
  <c r="I269" i="5"/>
  <c r="D349" i="5"/>
  <c r="I351" i="5"/>
  <c r="D350" i="5"/>
  <c r="F350" i="5"/>
  <c r="K223" i="5"/>
  <c r="K267" i="5"/>
  <c r="K269" i="5"/>
  <c r="H251" i="5"/>
  <c r="G349" i="5"/>
  <c r="G351" i="5"/>
  <c r="D267" i="5"/>
  <c r="J223" i="5"/>
  <c r="J267" i="5"/>
  <c r="J269" i="5"/>
  <c r="P337" i="5"/>
  <c r="P330" i="5"/>
  <c r="J333" i="5"/>
  <c r="P333" i="5"/>
  <c r="P173" i="5"/>
  <c r="E349" i="5"/>
  <c r="E351" i="5"/>
  <c r="G267" i="5"/>
  <c r="G269" i="5"/>
  <c r="P113" i="5"/>
  <c r="F116" i="5"/>
  <c r="P221" i="5"/>
  <c r="L351" i="5"/>
  <c r="P220" i="5"/>
  <c r="K351" i="5"/>
  <c r="E267" i="5"/>
  <c r="F345" i="5"/>
  <c r="F349" i="5"/>
  <c r="F351" i="5"/>
  <c r="E123" i="5"/>
  <c r="E186" i="5"/>
  <c r="D269" i="5"/>
  <c r="P297" i="5"/>
  <c r="P347" i="5"/>
  <c r="P349" i="5"/>
  <c r="H347" i="5"/>
  <c r="H349" i="5"/>
  <c r="H351" i="5"/>
  <c r="D351" i="5"/>
  <c r="M351" i="5"/>
  <c r="C8" i="1"/>
  <c r="I120" i="5"/>
  <c r="J120" i="5"/>
  <c r="K120" i="5"/>
  <c r="L120" i="5"/>
  <c r="M120" i="5"/>
  <c r="N120" i="5"/>
  <c r="O120" i="5"/>
  <c r="P120" i="5"/>
  <c r="N217" i="5"/>
  <c r="P184" i="5"/>
  <c r="D46" i="1"/>
  <c r="F135" i="1"/>
  <c r="T135" i="1"/>
  <c r="M219" i="5"/>
  <c r="N219" i="5"/>
  <c r="L223" i="5"/>
  <c r="L267" i="5"/>
  <c r="L269" i="5"/>
  <c r="D417" i="1"/>
  <c r="H215" i="5"/>
  <c r="P212" i="5"/>
  <c r="G119" i="5"/>
  <c r="D179" i="1"/>
  <c r="F179" i="1"/>
  <c r="E179" i="1"/>
  <c r="P263" i="5"/>
  <c r="F123" i="5"/>
  <c r="F186" i="5"/>
  <c r="C27" i="1"/>
  <c r="D186" i="5"/>
  <c r="P308" i="5"/>
  <c r="P328" i="5"/>
  <c r="D102" i="1"/>
  <c r="F97" i="1"/>
  <c r="T97" i="1"/>
  <c r="D159" i="1"/>
  <c r="E159" i="1"/>
  <c r="J159" i="1"/>
  <c r="P114" i="5"/>
  <c r="J116" i="5"/>
  <c r="P116" i="5"/>
  <c r="P325" i="5"/>
  <c r="E268" i="5"/>
  <c r="E269" i="5"/>
  <c r="C65" i="1"/>
  <c r="K121" i="5"/>
  <c r="L121" i="5"/>
  <c r="M121" i="5"/>
  <c r="N121" i="5"/>
  <c r="O121" i="5"/>
  <c r="I121" i="5"/>
  <c r="P121" i="5"/>
  <c r="P118" i="5"/>
  <c r="D403" i="1"/>
  <c r="F154" i="1"/>
  <c r="T154" i="1"/>
  <c r="E407" i="1"/>
  <c r="F2" i="1"/>
  <c r="T2" i="1"/>
  <c r="F46" i="1"/>
  <c r="E46" i="1"/>
  <c r="F83" i="1"/>
  <c r="B84" i="1"/>
  <c r="C84" i="1"/>
  <c r="D84" i="1"/>
  <c r="F84" i="1"/>
  <c r="B85" i="1"/>
  <c r="E83" i="1"/>
  <c r="J350" i="5"/>
  <c r="J351" i="5"/>
  <c r="P350" i="5"/>
  <c r="P351" i="5"/>
  <c r="C85" i="1"/>
  <c r="C180" i="1"/>
  <c r="D180" i="1"/>
  <c r="F180" i="1"/>
  <c r="O46" i="1"/>
  <c r="F417" i="1"/>
  <c r="P268" i="5"/>
  <c r="E84" i="1"/>
  <c r="D85" i="1"/>
  <c r="F85" i="1"/>
  <c r="B86" i="1"/>
  <c r="F159" i="1"/>
  <c r="B160" i="1"/>
  <c r="P219" i="5"/>
  <c r="F102" i="1"/>
  <c r="E102" i="1"/>
  <c r="H267" i="5"/>
  <c r="P215" i="5"/>
  <c r="D8" i="1"/>
  <c r="F8" i="1"/>
  <c r="E8" i="1"/>
  <c r="M223" i="5"/>
  <c r="M267" i="5"/>
  <c r="M269" i="5"/>
  <c r="O217" i="5"/>
  <c r="O223" i="5"/>
  <c r="O267" i="5"/>
  <c r="O269" i="5"/>
  <c r="N223" i="5"/>
  <c r="N267" i="5"/>
  <c r="N269" i="5"/>
  <c r="G123" i="5"/>
  <c r="H119" i="5"/>
  <c r="I119" i="5"/>
  <c r="J119" i="5"/>
  <c r="C47" i="1"/>
  <c r="D47" i="1"/>
  <c r="F47" i="1"/>
  <c r="D65" i="1"/>
  <c r="F65" i="1"/>
  <c r="D27" i="1"/>
  <c r="F27" i="1"/>
  <c r="E27" i="1"/>
  <c r="F403" i="1"/>
  <c r="D198" i="1"/>
  <c r="C48" i="1"/>
  <c r="C181" i="1"/>
  <c r="C86" i="1"/>
  <c r="E85" i="1"/>
  <c r="D86" i="1"/>
  <c r="F86" i="1"/>
  <c r="B87" i="1"/>
  <c r="B418" i="1"/>
  <c r="C9" i="1"/>
  <c r="H269" i="5"/>
  <c r="P269" i="5"/>
  <c r="P267" i="5"/>
  <c r="D9" i="1"/>
  <c r="F9" i="1"/>
  <c r="O8" i="1"/>
  <c r="O27" i="1"/>
  <c r="P217" i="5"/>
  <c r="P223" i="5"/>
  <c r="C28" i="1"/>
  <c r="D28" i="1"/>
  <c r="F28" i="1"/>
  <c r="E65" i="1"/>
  <c r="E180" i="1"/>
  <c r="D181" i="1"/>
  <c r="F181" i="1"/>
  <c r="B404" i="1"/>
  <c r="C66" i="1"/>
  <c r="E47" i="1"/>
  <c r="C103" i="1"/>
  <c r="D103" i="1"/>
  <c r="F103" i="1"/>
  <c r="H123" i="5"/>
  <c r="H186" i="5"/>
  <c r="C160" i="1"/>
  <c r="F198" i="1"/>
  <c r="C199" i="1"/>
  <c r="E198" i="1"/>
  <c r="D66" i="1"/>
  <c r="F66" i="1"/>
  <c r="C87" i="1"/>
  <c r="C29" i="1"/>
  <c r="C104" i="1"/>
  <c r="C10" i="1"/>
  <c r="C182" i="1"/>
  <c r="C67" i="1"/>
  <c r="C404" i="1"/>
  <c r="E9" i="1"/>
  <c r="D160" i="1"/>
  <c r="F160" i="1"/>
  <c r="B161" i="1"/>
  <c r="E103" i="1"/>
  <c r="P47" i="1"/>
  <c r="D48" i="1"/>
  <c r="F48" i="1"/>
  <c r="I123" i="5"/>
  <c r="I186" i="5"/>
  <c r="I188" i="5"/>
  <c r="C418" i="1"/>
  <c r="E86" i="1"/>
  <c r="D87" i="1"/>
  <c r="F87" i="1"/>
  <c r="B88" i="1"/>
  <c r="E66" i="1"/>
  <c r="D67" i="1"/>
  <c r="F67" i="1"/>
  <c r="E28" i="1"/>
  <c r="E181" i="1"/>
  <c r="D182" i="1"/>
  <c r="F182" i="1"/>
  <c r="C183" i="1"/>
  <c r="C68" i="1"/>
  <c r="C88" i="1"/>
  <c r="E182" i="1"/>
  <c r="P9" i="1"/>
  <c r="D10" i="1"/>
  <c r="F10" i="1"/>
  <c r="D418" i="1"/>
  <c r="C161" i="1"/>
  <c r="E67" i="1"/>
  <c r="D68" i="1"/>
  <c r="F68" i="1"/>
  <c r="P28" i="1"/>
  <c r="D29" i="1"/>
  <c r="F29" i="1"/>
  <c r="K119" i="5"/>
  <c r="J123" i="5"/>
  <c r="J186" i="5"/>
  <c r="E87" i="1"/>
  <c r="C49" i="1"/>
  <c r="D104" i="1"/>
  <c r="F104" i="1"/>
  <c r="D404" i="1"/>
  <c r="E160" i="1"/>
  <c r="E48" i="1"/>
  <c r="D199" i="1"/>
  <c r="E199" i="1"/>
  <c r="F418" i="1"/>
  <c r="K160" i="1"/>
  <c r="D161" i="1"/>
  <c r="F161" i="1"/>
  <c r="B162" i="1"/>
  <c r="K123" i="5"/>
  <c r="K186" i="5"/>
  <c r="L119" i="5"/>
  <c r="C30" i="1"/>
  <c r="C11" i="1"/>
  <c r="E10" i="1"/>
  <c r="F404" i="1"/>
  <c r="Q48" i="1"/>
  <c r="D49" i="1"/>
  <c r="D88" i="1"/>
  <c r="E29" i="1"/>
  <c r="E104" i="1"/>
  <c r="C69" i="1"/>
  <c r="C105" i="1"/>
  <c r="D183" i="1"/>
  <c r="E183" i="1"/>
  <c r="E68" i="1"/>
  <c r="F199" i="1"/>
  <c r="C200" i="1"/>
  <c r="D105" i="1"/>
  <c r="F105" i="1"/>
  <c r="F88" i="1"/>
  <c r="B89" i="1"/>
  <c r="E88" i="1"/>
  <c r="F49" i="1"/>
  <c r="E49" i="1"/>
  <c r="C106" i="1"/>
  <c r="M119" i="5"/>
  <c r="L123" i="5"/>
  <c r="L186" i="5"/>
  <c r="B419" i="1"/>
  <c r="F183" i="1"/>
  <c r="R49" i="1"/>
  <c r="D11" i="1"/>
  <c r="F11" i="1"/>
  <c r="Q10" i="1"/>
  <c r="C162" i="1"/>
  <c r="D69" i="1"/>
  <c r="F69" i="1"/>
  <c r="Q29" i="1"/>
  <c r="D30" i="1"/>
  <c r="F30" i="1"/>
  <c r="E11" i="1"/>
  <c r="E105" i="1"/>
  <c r="D106" i="1"/>
  <c r="F106" i="1"/>
  <c r="B405" i="1"/>
  <c r="E161" i="1"/>
  <c r="C89" i="1"/>
  <c r="D89" i="1"/>
  <c r="F89" i="1"/>
  <c r="B90" i="1"/>
  <c r="C50" i="1"/>
  <c r="D50" i="1"/>
  <c r="F50" i="1"/>
  <c r="C107" i="1"/>
  <c r="C90" i="1"/>
  <c r="C51" i="1"/>
  <c r="C419" i="1"/>
  <c r="C405" i="1"/>
  <c r="B407" i="1"/>
  <c r="R11" i="1"/>
  <c r="C12" i="1"/>
  <c r="C184" i="1"/>
  <c r="C70" i="1"/>
  <c r="E30" i="1"/>
  <c r="E69" i="1"/>
  <c r="D70" i="1"/>
  <c r="F70" i="1"/>
  <c r="E50" i="1"/>
  <c r="C31" i="1"/>
  <c r="E89" i="1"/>
  <c r="M123" i="5"/>
  <c r="M186" i="5"/>
  <c r="L161" i="1"/>
  <c r="D162" i="1"/>
  <c r="F162" i="1"/>
  <c r="B163" i="1"/>
  <c r="E106" i="1"/>
  <c r="D107" i="1"/>
  <c r="F107" i="1"/>
  <c r="D200" i="1"/>
  <c r="C108" i="1"/>
  <c r="E107" i="1"/>
  <c r="D108" i="1"/>
  <c r="F108" i="1"/>
  <c r="C71" i="1"/>
  <c r="C163" i="1"/>
  <c r="D90" i="1"/>
  <c r="F90" i="1"/>
  <c r="B91" i="1"/>
  <c r="E70" i="1"/>
  <c r="E162" i="1"/>
  <c r="D184" i="1"/>
  <c r="E184" i="1"/>
  <c r="D31" i="1"/>
  <c r="F31" i="1"/>
  <c r="R30" i="1"/>
  <c r="D405" i="1"/>
  <c r="C407" i="1"/>
  <c r="O123" i="5"/>
  <c r="O186" i="5"/>
  <c r="N123" i="5"/>
  <c r="N186" i="5"/>
  <c r="P119" i="5"/>
  <c r="P123" i="5"/>
  <c r="P186" i="5"/>
  <c r="D419" i="1"/>
  <c r="D51" i="1"/>
  <c r="F51" i="1"/>
  <c r="G50" i="1"/>
  <c r="D12" i="1"/>
  <c r="F12" i="1"/>
  <c r="F200" i="1"/>
  <c r="C201" i="1"/>
  <c r="E200" i="1"/>
  <c r="C109" i="1"/>
  <c r="E31" i="1"/>
  <c r="C32" i="1"/>
  <c r="E108" i="1"/>
  <c r="D109" i="1"/>
  <c r="F109" i="1"/>
  <c r="E12" i="1"/>
  <c r="E90" i="1"/>
  <c r="C52" i="1"/>
  <c r="C13" i="1"/>
  <c r="F419" i="1"/>
  <c r="F184" i="1"/>
  <c r="D407" i="1"/>
  <c r="F405" i="1"/>
  <c r="F407" i="1"/>
  <c r="C91" i="1"/>
  <c r="E51" i="1"/>
  <c r="M162" i="1"/>
  <c r="D163" i="1"/>
  <c r="D71" i="1"/>
  <c r="F71" i="1"/>
  <c r="F163" i="1"/>
  <c r="B164" i="1"/>
  <c r="E163" i="1"/>
  <c r="C110" i="1"/>
  <c r="E71" i="1"/>
  <c r="E109" i="1"/>
  <c r="D110" i="1"/>
  <c r="F110" i="1"/>
  <c r="H51" i="1"/>
  <c r="D52" i="1"/>
  <c r="F52" i="1"/>
  <c r="D91" i="1"/>
  <c r="F91" i="1"/>
  <c r="B92" i="1"/>
  <c r="B420" i="1"/>
  <c r="E91" i="1"/>
  <c r="C72" i="1"/>
  <c r="C164" i="1"/>
  <c r="G12" i="1"/>
  <c r="D13" i="1"/>
  <c r="F13" i="1"/>
  <c r="N163" i="1"/>
  <c r="C185" i="1"/>
  <c r="E52" i="1"/>
  <c r="G31" i="1"/>
  <c r="D32" i="1"/>
  <c r="F32" i="1"/>
  <c r="D201" i="1"/>
  <c r="D72" i="1"/>
  <c r="F72" i="1"/>
  <c r="C111" i="1"/>
  <c r="C73" i="1"/>
  <c r="C14" i="1"/>
  <c r="C420" i="1"/>
  <c r="E13" i="1"/>
  <c r="E110" i="1"/>
  <c r="D111" i="1"/>
  <c r="F111" i="1"/>
  <c r="D185" i="1"/>
  <c r="E185" i="1"/>
  <c r="C33" i="1"/>
  <c r="I52" i="1"/>
  <c r="D164" i="1"/>
  <c r="F164" i="1"/>
  <c r="B165" i="1"/>
  <c r="C92" i="1"/>
  <c r="D92" i="1"/>
  <c r="F92" i="1"/>
  <c r="B93" i="1"/>
  <c r="E32" i="1"/>
  <c r="C53" i="1"/>
  <c r="D53" i="1"/>
  <c r="F53" i="1"/>
  <c r="E72" i="1"/>
  <c r="D73" i="1"/>
  <c r="F73" i="1"/>
  <c r="F201" i="1"/>
  <c r="C202" i="1"/>
  <c r="E201" i="1"/>
  <c r="C93" i="1"/>
  <c r="C112" i="1"/>
  <c r="C54" i="1"/>
  <c r="C74" i="1"/>
  <c r="E164" i="1"/>
  <c r="E73" i="1"/>
  <c r="D74" i="1"/>
  <c r="F74" i="1"/>
  <c r="E111" i="1"/>
  <c r="D112" i="1"/>
  <c r="F112" i="1"/>
  <c r="C165" i="1"/>
  <c r="H13" i="1"/>
  <c r="D14" i="1"/>
  <c r="E53" i="1"/>
  <c r="H32" i="1"/>
  <c r="D33" i="1"/>
  <c r="F33" i="1"/>
  <c r="E92" i="1"/>
  <c r="D93" i="1"/>
  <c r="F93" i="1"/>
  <c r="B94" i="1"/>
  <c r="F185" i="1"/>
  <c r="D420" i="1"/>
  <c r="F14" i="1"/>
  <c r="E14" i="1"/>
  <c r="C75" i="1"/>
  <c r="C113" i="1"/>
  <c r="C94" i="1"/>
  <c r="E93" i="1"/>
  <c r="D94" i="1"/>
  <c r="F94" i="1"/>
  <c r="D165" i="1"/>
  <c r="F165" i="1"/>
  <c r="B166" i="1"/>
  <c r="O164" i="1"/>
  <c r="E33" i="1"/>
  <c r="D54" i="1"/>
  <c r="J53" i="1"/>
  <c r="F420" i="1"/>
  <c r="E165" i="1"/>
  <c r="C15" i="1"/>
  <c r="C34" i="1"/>
  <c r="E112" i="1"/>
  <c r="D113" i="1"/>
  <c r="F113" i="1"/>
  <c r="E74" i="1"/>
  <c r="D75" i="1"/>
  <c r="F75" i="1"/>
  <c r="C186" i="1"/>
  <c r="I14" i="1"/>
  <c r="D202" i="1"/>
  <c r="F54" i="1"/>
  <c r="E54" i="1"/>
  <c r="D186" i="1"/>
  <c r="F186" i="1"/>
  <c r="K54" i="1"/>
  <c r="E94" i="1"/>
  <c r="F80" i="1"/>
  <c r="U80" i="1"/>
  <c r="C55" i="1"/>
  <c r="C166" i="1"/>
  <c r="P165" i="1"/>
  <c r="E75" i="1"/>
  <c r="F61" i="1"/>
  <c r="U61" i="1"/>
  <c r="D15" i="1"/>
  <c r="F15" i="1"/>
  <c r="I33" i="1"/>
  <c r="D34" i="1"/>
  <c r="F34" i="1"/>
  <c r="B421" i="1"/>
  <c r="E113" i="1"/>
  <c r="F99" i="1"/>
  <c r="U99" i="1"/>
  <c r="F202" i="1"/>
  <c r="C203" i="1"/>
  <c r="E202" i="1"/>
  <c r="C35" i="1"/>
  <c r="C421" i="1"/>
  <c r="E186" i="1"/>
  <c r="E15" i="1"/>
  <c r="E34" i="1"/>
  <c r="D166" i="1"/>
  <c r="D55" i="1"/>
  <c r="F55" i="1"/>
  <c r="C16" i="1"/>
  <c r="C187" i="1"/>
  <c r="F166" i="1"/>
  <c r="B167" i="1"/>
  <c r="E166" i="1"/>
  <c r="D187" i="1"/>
  <c r="F187" i="1"/>
  <c r="Q166" i="1"/>
  <c r="C56" i="1"/>
  <c r="J15" i="1"/>
  <c r="D16" i="1"/>
  <c r="F16" i="1"/>
  <c r="C167" i="1"/>
  <c r="D167" i="1"/>
  <c r="F167" i="1"/>
  <c r="B168" i="1"/>
  <c r="C188" i="1"/>
  <c r="E187" i="1"/>
  <c r="D188" i="1"/>
  <c r="F188" i="1"/>
  <c r="D35" i="1"/>
  <c r="F35" i="1"/>
  <c r="J34" i="1"/>
  <c r="D421" i="1"/>
  <c r="E55" i="1"/>
  <c r="D203" i="1"/>
  <c r="C189" i="1"/>
  <c r="C168" i="1"/>
  <c r="C36" i="1"/>
  <c r="E188" i="1"/>
  <c r="D189" i="1"/>
  <c r="G189" i="1"/>
  <c r="F176" i="1"/>
  <c r="V176" i="1"/>
  <c r="C17" i="1"/>
  <c r="E16" i="1"/>
  <c r="F42" i="1"/>
  <c r="U42" i="1"/>
  <c r="F421" i="1"/>
  <c r="D56" i="1"/>
  <c r="L55" i="1"/>
  <c r="E35" i="1"/>
  <c r="E167" i="1"/>
  <c r="F203" i="1"/>
  <c r="C204" i="1"/>
  <c r="E203" i="1"/>
  <c r="F56" i="1"/>
  <c r="E56" i="1"/>
  <c r="M56" i="1"/>
  <c r="F43" i="1"/>
  <c r="V43" i="1"/>
  <c r="D168" i="1"/>
  <c r="F168" i="1"/>
  <c r="B169" i="1"/>
  <c r="R167" i="1"/>
  <c r="K16" i="1"/>
  <c r="D17" i="1"/>
  <c r="F17" i="1"/>
  <c r="E168" i="1"/>
  <c r="B422" i="1"/>
  <c r="E189" i="1"/>
  <c r="F175" i="1"/>
  <c r="U175" i="1"/>
  <c r="D36" i="1"/>
  <c r="F36" i="1"/>
  <c r="K35" i="1"/>
  <c r="F189" i="1"/>
  <c r="C169" i="1"/>
  <c r="D169" i="1"/>
  <c r="F169" i="1"/>
  <c r="B170" i="1"/>
  <c r="G168" i="1"/>
  <c r="E36" i="1"/>
  <c r="C18" i="1"/>
  <c r="C422" i="1"/>
  <c r="B424" i="1"/>
  <c r="C37" i="1"/>
  <c r="E17" i="1"/>
  <c r="D204" i="1"/>
  <c r="C170" i="1"/>
  <c r="F23" i="1"/>
  <c r="U23" i="1"/>
  <c r="F4" i="1"/>
  <c r="U4" i="1"/>
  <c r="D422" i="1"/>
  <c r="C424" i="1"/>
  <c r="E169" i="1"/>
  <c r="L17" i="1"/>
  <c r="D18" i="1"/>
  <c r="F18" i="1"/>
  <c r="D37" i="1"/>
  <c r="F37" i="1"/>
  <c r="L36" i="1"/>
  <c r="F204" i="1"/>
  <c r="C205" i="1"/>
  <c r="E204" i="1"/>
  <c r="D424" i="1"/>
  <c r="F422" i="1"/>
  <c r="F424" i="1"/>
  <c r="F156" i="1"/>
  <c r="U156" i="1"/>
  <c r="E37" i="1"/>
  <c r="M37" i="1"/>
  <c r="F24" i="1"/>
  <c r="V24" i="1"/>
  <c r="D170" i="1"/>
  <c r="F170" i="1"/>
  <c r="H169" i="1"/>
  <c r="E18" i="1"/>
  <c r="M18" i="1"/>
  <c r="F5" i="1"/>
  <c r="V5" i="1"/>
  <c r="E170" i="1"/>
  <c r="I170" i="1"/>
  <c r="F157" i="1"/>
  <c r="V157" i="1"/>
  <c r="D205" i="1"/>
  <c r="F205" i="1"/>
  <c r="C206" i="1"/>
  <c r="E205" i="1"/>
  <c r="D206" i="1"/>
  <c r="F206" i="1"/>
  <c r="C207" i="1"/>
  <c r="E206" i="1"/>
  <c r="D207" i="1"/>
  <c r="F207" i="1"/>
  <c r="C208" i="1"/>
  <c r="E207" i="1"/>
  <c r="D208" i="1"/>
  <c r="F208" i="1"/>
  <c r="J209" i="1"/>
  <c r="L209" i="1"/>
  <c r="G209" i="1"/>
  <c r="H209" i="1"/>
  <c r="F194" i="1"/>
  <c r="E208" i="1"/>
  <c r="M209" i="1"/>
  <c r="F122" i="1"/>
  <c r="B123" i="1"/>
  <c r="C123" i="1"/>
  <c r="D123" i="1"/>
  <c r="F123" i="1"/>
  <c r="B124" i="1"/>
  <c r="C124" i="1"/>
  <c r="D124" i="1"/>
  <c r="F124" i="1"/>
  <c r="B125" i="1"/>
  <c r="C125" i="1"/>
  <c r="D125" i="1"/>
  <c r="F125" i="1"/>
  <c r="B126" i="1"/>
  <c r="C126" i="1"/>
  <c r="D126" i="1"/>
  <c r="F126" i="1"/>
  <c r="B127" i="1"/>
  <c r="C127" i="1"/>
  <c r="D127" i="1"/>
  <c r="F127" i="1"/>
  <c r="B128" i="1"/>
  <c r="C128" i="1"/>
  <c r="D128" i="1"/>
  <c r="F128" i="1"/>
  <c r="B129" i="1"/>
  <c r="C129" i="1"/>
  <c r="D129" i="1"/>
  <c r="F129" i="1"/>
  <c r="B130" i="1"/>
  <c r="C130" i="1"/>
  <c r="D130" i="1"/>
  <c r="F130" i="1"/>
  <c r="B131" i="1"/>
  <c r="C131" i="1"/>
  <c r="D131" i="1"/>
  <c r="F131" i="1"/>
  <c r="B132" i="1"/>
  <c r="C132" i="1"/>
  <c r="D132" i="1"/>
  <c r="F118" i="1"/>
  <c r="U118" i="1"/>
  <c r="G132" i="1"/>
  <c r="F132" i="1"/>
  <c r="F255" i="1"/>
  <c r="E255" i="1"/>
  <c r="H13" i="13"/>
  <c r="H14" i="13"/>
  <c r="H15" i="13"/>
  <c r="C256" i="1"/>
  <c r="D256" i="1"/>
  <c r="F256" i="1"/>
  <c r="E256" i="1"/>
  <c r="C257" i="1"/>
  <c r="D257" i="1"/>
  <c r="F257" i="1"/>
  <c r="E257" i="1"/>
  <c r="C258" i="1"/>
  <c r="D258" i="1"/>
  <c r="F258" i="1"/>
  <c r="E258" i="1"/>
  <c r="C259" i="1"/>
  <c r="D259" i="1"/>
  <c r="F259" i="1"/>
  <c r="E259" i="1"/>
  <c r="C260" i="1"/>
  <c r="D260" i="1"/>
  <c r="F260" i="1"/>
  <c r="E260" i="1"/>
  <c r="C261" i="1"/>
  <c r="D261" i="1"/>
  <c r="F261" i="1"/>
  <c r="E261" i="1"/>
  <c r="C262" i="1"/>
  <c r="D262" i="1"/>
  <c r="F262" i="1"/>
  <c r="E262" i="1"/>
  <c r="C263" i="1"/>
  <c r="D263" i="1"/>
  <c r="F263" i="1"/>
  <c r="E263" i="1"/>
  <c r="C264" i="1"/>
  <c r="D264" i="1"/>
  <c r="F264" i="1"/>
  <c r="E264" i="1"/>
  <c r="C265" i="1"/>
  <c r="F251" i="1"/>
  <c r="D265" i="1"/>
  <c r="F265" i="1"/>
  <c r="E265" i="1"/>
  <c r="H127" i="1"/>
  <c r="G126" i="1"/>
  <c r="F119" i="1"/>
  <c r="V119" i="1"/>
  <c r="D140" i="1"/>
  <c r="F232" i="1"/>
  <c r="F140" i="1"/>
  <c r="B141" i="1"/>
  <c r="E140" i="1"/>
  <c r="C141" i="1"/>
  <c r="D141" i="1"/>
  <c r="F141" i="1"/>
  <c r="B142" i="1"/>
  <c r="E141" i="1"/>
  <c r="K141" i="1"/>
  <c r="C142" i="1"/>
  <c r="D142" i="1"/>
  <c r="F142" i="1"/>
  <c r="B143" i="1"/>
  <c r="E142" i="1"/>
  <c r="L142" i="1"/>
  <c r="C143" i="1"/>
  <c r="D143" i="1"/>
  <c r="F143" i="1"/>
  <c r="B144" i="1"/>
  <c r="E143" i="1"/>
  <c r="M143" i="1"/>
  <c r="C144" i="1"/>
  <c r="D144" i="1"/>
  <c r="F144" i="1"/>
  <c r="B145" i="1"/>
  <c r="E144" i="1"/>
  <c r="N144" i="1"/>
  <c r="C145" i="1"/>
  <c r="D145" i="1"/>
  <c r="F145" i="1"/>
  <c r="B146" i="1"/>
  <c r="E145" i="1"/>
  <c r="O145" i="1"/>
  <c r="C146" i="1"/>
  <c r="D146" i="1"/>
  <c r="F146" i="1"/>
  <c r="B147" i="1"/>
  <c r="E146" i="1"/>
  <c r="P146" i="1"/>
  <c r="C147" i="1"/>
  <c r="D147" i="1"/>
  <c r="F147" i="1"/>
  <c r="B148" i="1"/>
  <c r="E147" i="1"/>
  <c r="Q147" i="1"/>
  <c r="C148" i="1"/>
  <c r="D148" i="1"/>
  <c r="F148" i="1"/>
  <c r="B149" i="1"/>
  <c r="E148" i="1"/>
  <c r="R148" i="1"/>
  <c r="C149" i="1"/>
  <c r="D149" i="1"/>
  <c r="F149" i="1"/>
  <c r="B150" i="1"/>
  <c r="E149" i="1"/>
  <c r="G149" i="1"/>
  <c r="C150" i="1"/>
  <c r="D150" i="1"/>
  <c r="F150" i="1"/>
  <c r="B151" i="1"/>
  <c r="E150" i="1"/>
  <c r="H150" i="1"/>
  <c r="C151" i="1"/>
  <c r="F137" i="1"/>
  <c r="U137" i="1"/>
  <c r="D151" i="1"/>
  <c r="F151" i="1"/>
  <c r="E151" i="1"/>
  <c r="I151" i="1"/>
  <c r="F138" i="1"/>
  <c r="V138" i="1"/>
  <c r="L40" i="5"/>
  <c r="L42" i="5"/>
  <c r="F109" i="13"/>
  <c r="H109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31" i="13"/>
  <c r="I31" i="13"/>
  <c r="F86" i="13"/>
  <c r="H86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F54" i="13"/>
  <c r="H47" i="13"/>
  <c r="H48" i="13"/>
  <c r="H49" i="13"/>
  <c r="H50" i="13"/>
  <c r="H51" i="13"/>
  <c r="H52" i="13"/>
  <c r="H53" i="13"/>
  <c r="H34" i="13"/>
  <c r="H35" i="13"/>
  <c r="H36" i="13"/>
  <c r="H37" i="13"/>
  <c r="H38" i="13"/>
  <c r="H39" i="13"/>
  <c r="H40" i="13"/>
  <c r="H41" i="13"/>
  <c r="H42" i="13"/>
  <c r="H43" i="13"/>
  <c r="G186" i="5"/>
  <c r="P246" i="5"/>
  <c r="M26" i="5"/>
  <c r="M40" i="5"/>
  <c r="M42" i="5"/>
  <c r="C278" i="1"/>
  <c r="E277" i="1"/>
  <c r="D278" i="1"/>
  <c r="F278" i="1"/>
  <c r="H54" i="13"/>
  <c r="N26" i="5"/>
  <c r="N40" i="5"/>
  <c r="N42" i="5"/>
  <c r="O26" i="5"/>
  <c r="O40" i="5"/>
  <c r="O42" i="5"/>
  <c r="P21" i="5"/>
  <c r="P26" i="5"/>
  <c r="C279" i="1"/>
  <c r="E278" i="1"/>
  <c r="D279" i="1"/>
  <c r="F279" i="1"/>
  <c r="H56" i="13"/>
  <c r="C280" i="1"/>
  <c r="E279" i="1"/>
  <c r="D280" i="1"/>
  <c r="F280" i="1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C281" i="1"/>
  <c r="E280" i="1"/>
  <c r="D281" i="1"/>
  <c r="F281" i="1"/>
  <c r="H134" i="13"/>
  <c r="H135" i="13"/>
  <c r="H136" i="13"/>
  <c r="H137" i="13"/>
  <c r="H138" i="13"/>
  <c r="H139" i="13"/>
  <c r="C282" i="1"/>
  <c r="E281" i="1"/>
  <c r="D282" i="1"/>
  <c r="F282" i="1"/>
  <c r="C283" i="1"/>
  <c r="E282" i="1"/>
  <c r="D283" i="1"/>
  <c r="F283" i="1"/>
  <c r="C284" i="1"/>
  <c r="E283" i="1"/>
  <c r="D284" i="1"/>
  <c r="F284" i="1"/>
  <c r="E284" i="1"/>
  <c r="F270" i="1"/>
  <c r="E216" i="1"/>
  <c r="D217" i="1"/>
  <c r="F159" i="13"/>
  <c r="G159" i="13"/>
  <c r="H157" i="13"/>
  <c r="H146" i="13"/>
  <c r="H147" i="13"/>
  <c r="H148" i="13"/>
  <c r="H149" i="13"/>
  <c r="H150" i="13"/>
  <c r="H151" i="13"/>
  <c r="H152" i="13"/>
  <c r="H153" i="13"/>
  <c r="H154" i="13"/>
  <c r="H155" i="13"/>
  <c r="H156" i="13"/>
  <c r="C331" i="1"/>
  <c r="D331" i="1"/>
  <c r="F331" i="1"/>
  <c r="C312" i="1"/>
  <c r="E311" i="1"/>
  <c r="D312" i="1"/>
  <c r="F312" i="1"/>
  <c r="D19" i="5"/>
  <c r="D40" i="5"/>
  <c r="K187" i="5"/>
  <c r="K188" i="5"/>
  <c r="J187" i="5"/>
  <c r="J188" i="5"/>
  <c r="H187" i="5"/>
  <c r="H188" i="5"/>
  <c r="G187" i="5"/>
  <c r="G188" i="5"/>
  <c r="F187" i="5"/>
  <c r="F188" i="5"/>
  <c r="E187" i="5"/>
  <c r="E188" i="5"/>
  <c r="D187" i="5"/>
  <c r="D188" i="5"/>
  <c r="E108" i="5"/>
  <c r="O108" i="5"/>
  <c r="N108" i="5"/>
  <c r="M108" i="5"/>
  <c r="L108" i="5"/>
  <c r="K108" i="5"/>
  <c r="J108" i="5"/>
  <c r="I108" i="5"/>
  <c r="H108" i="5"/>
  <c r="G108" i="5"/>
  <c r="D95" i="5"/>
  <c r="D108" i="5"/>
  <c r="P92" i="5"/>
  <c r="F95" i="5"/>
  <c r="P93" i="5"/>
  <c r="F105" i="5"/>
  <c r="F108" i="5"/>
  <c r="P100" i="5"/>
  <c r="P105" i="5"/>
  <c r="C293" i="1"/>
  <c r="E292" i="1"/>
  <c r="D293" i="1"/>
  <c r="F293" i="1"/>
  <c r="M161" i="5"/>
  <c r="L161" i="5"/>
  <c r="M162" i="5"/>
  <c r="N162" i="5"/>
  <c r="O162" i="5"/>
  <c r="L162" i="5"/>
  <c r="P162" i="5"/>
  <c r="D49" i="5"/>
  <c r="P46" i="5"/>
  <c r="E56" i="5"/>
  <c r="E107" i="5"/>
  <c r="E109" i="5"/>
  <c r="F51" i="5"/>
  <c r="F52" i="5"/>
  <c r="F53" i="5"/>
  <c r="F54" i="5"/>
  <c r="F217" i="1"/>
  <c r="E217" i="1"/>
  <c r="H159" i="13"/>
  <c r="C332" i="1"/>
  <c r="E331" i="1"/>
  <c r="D332" i="1"/>
  <c r="F332" i="1"/>
  <c r="D42" i="5"/>
  <c r="C313" i="1"/>
  <c r="E312" i="1"/>
  <c r="D313" i="1"/>
  <c r="F313" i="1"/>
  <c r="D107" i="5"/>
  <c r="D109" i="5"/>
  <c r="P95" i="5"/>
  <c r="C294" i="1"/>
  <c r="E293" i="1"/>
  <c r="D294" i="1"/>
  <c r="F294" i="1"/>
  <c r="G54" i="5"/>
  <c r="H54" i="5"/>
  <c r="G53" i="5"/>
  <c r="H53" i="5"/>
  <c r="I53" i="5"/>
  <c r="J53" i="5"/>
  <c r="K53" i="5"/>
  <c r="L53" i="5"/>
  <c r="M53" i="5"/>
  <c r="N53" i="5"/>
  <c r="O53" i="5"/>
  <c r="P53" i="5"/>
  <c r="G52" i="5"/>
  <c r="H52" i="5"/>
  <c r="I52" i="5"/>
  <c r="J52" i="5"/>
  <c r="K52" i="5"/>
  <c r="L52" i="5"/>
  <c r="M52" i="5"/>
  <c r="N52" i="5"/>
  <c r="O52" i="5"/>
  <c r="P52" i="5"/>
  <c r="F56" i="5"/>
  <c r="F107" i="5"/>
  <c r="F109" i="5"/>
  <c r="G51" i="5"/>
  <c r="P49" i="5"/>
  <c r="L168" i="5"/>
  <c r="L187" i="5"/>
  <c r="L188" i="5"/>
  <c r="N161" i="5"/>
  <c r="M168" i="5"/>
  <c r="M187" i="5"/>
  <c r="M188" i="5"/>
  <c r="C218" i="1"/>
  <c r="C333" i="1"/>
  <c r="E332" i="1"/>
  <c r="D333" i="1"/>
  <c r="F333" i="1"/>
  <c r="C314" i="1"/>
  <c r="E313" i="1"/>
  <c r="D314" i="1"/>
  <c r="F314" i="1"/>
  <c r="P84" i="5"/>
  <c r="C295" i="1"/>
  <c r="E294" i="1"/>
  <c r="D295" i="1"/>
  <c r="F295" i="1"/>
  <c r="N168" i="5"/>
  <c r="N187" i="5"/>
  <c r="N188" i="5"/>
  <c r="O161" i="5"/>
  <c r="P161" i="5"/>
  <c r="P168" i="5"/>
  <c r="P187" i="5"/>
  <c r="P188" i="5"/>
  <c r="G56" i="5"/>
  <c r="G107" i="5"/>
  <c r="G109" i="5"/>
  <c r="H51" i="5"/>
  <c r="J54" i="5"/>
  <c r="K54" i="5"/>
  <c r="L54" i="5"/>
  <c r="M54" i="5"/>
  <c r="N54" i="5"/>
  <c r="O54" i="5"/>
  <c r="I54" i="5"/>
  <c r="P54" i="5"/>
  <c r="D218" i="1"/>
  <c r="C334" i="1"/>
  <c r="E333" i="1"/>
  <c r="D334" i="1"/>
  <c r="F334" i="1"/>
  <c r="C315" i="1"/>
  <c r="E314" i="1"/>
  <c r="D315" i="1"/>
  <c r="F315" i="1"/>
  <c r="O168" i="5"/>
  <c r="O187" i="5"/>
  <c r="O188" i="5"/>
  <c r="C296" i="1"/>
  <c r="E295" i="1"/>
  <c r="D296" i="1"/>
  <c r="F296" i="1"/>
  <c r="H56" i="5"/>
  <c r="H107" i="5"/>
  <c r="H109" i="5"/>
  <c r="I51" i="5"/>
  <c r="F218" i="1"/>
  <c r="E218" i="1"/>
  <c r="C335" i="1"/>
  <c r="E334" i="1"/>
  <c r="D335" i="1"/>
  <c r="F335" i="1"/>
  <c r="C316" i="1"/>
  <c r="E315" i="1"/>
  <c r="D316" i="1"/>
  <c r="F316" i="1"/>
  <c r="C297" i="1"/>
  <c r="E296" i="1"/>
  <c r="D297" i="1"/>
  <c r="F297" i="1"/>
  <c r="I56" i="5"/>
  <c r="I107" i="5"/>
  <c r="I109" i="5"/>
  <c r="J51" i="5"/>
  <c r="C219" i="1"/>
  <c r="C336" i="1"/>
  <c r="E335" i="1"/>
  <c r="D336" i="1"/>
  <c r="F336" i="1"/>
  <c r="C317" i="1"/>
  <c r="E316" i="1"/>
  <c r="D317" i="1"/>
  <c r="F317" i="1"/>
  <c r="C298" i="1"/>
  <c r="E297" i="1"/>
  <c r="D298" i="1"/>
  <c r="F298" i="1"/>
  <c r="J56" i="5"/>
  <c r="J107" i="5"/>
  <c r="J109" i="5"/>
  <c r="K51" i="5"/>
  <c r="D219" i="1"/>
  <c r="C337" i="1"/>
  <c r="E336" i="1"/>
  <c r="D337" i="1"/>
  <c r="F337" i="1"/>
  <c r="C318" i="1"/>
  <c r="E317" i="1"/>
  <c r="D318" i="1"/>
  <c r="F318" i="1"/>
  <c r="P83" i="5"/>
  <c r="P90" i="5"/>
  <c r="P108" i="5"/>
  <c r="C299" i="1"/>
  <c r="E298" i="1"/>
  <c r="D299" i="1"/>
  <c r="F299" i="1"/>
  <c r="K56" i="5"/>
  <c r="K107" i="5"/>
  <c r="K109" i="5"/>
  <c r="L51" i="5"/>
  <c r="F219" i="1"/>
  <c r="E219" i="1"/>
  <c r="C338" i="1"/>
  <c r="E337" i="1"/>
  <c r="D338" i="1"/>
  <c r="F338" i="1"/>
  <c r="C319" i="1"/>
  <c r="E318" i="1"/>
  <c r="D319" i="1"/>
  <c r="F319" i="1"/>
  <c r="C300" i="1"/>
  <c r="E299" i="1"/>
  <c r="D300" i="1"/>
  <c r="F300" i="1"/>
  <c r="L56" i="5"/>
  <c r="L107" i="5"/>
  <c r="L109" i="5"/>
  <c r="M51" i="5"/>
  <c r="C220" i="1"/>
  <c r="C339" i="1"/>
  <c r="E338" i="1"/>
  <c r="D339" i="1"/>
  <c r="F339" i="1"/>
  <c r="C320" i="1"/>
  <c r="E319" i="1"/>
  <c r="D320" i="1"/>
  <c r="F320" i="1"/>
  <c r="C301" i="1"/>
  <c r="E300" i="1"/>
  <c r="D301" i="1"/>
  <c r="F301" i="1"/>
  <c r="M56" i="5"/>
  <c r="M107" i="5"/>
  <c r="M109" i="5"/>
  <c r="N51" i="5"/>
  <c r="D220" i="1"/>
  <c r="C340" i="1"/>
  <c r="E339" i="1"/>
  <c r="D340" i="1"/>
  <c r="F340" i="1"/>
  <c r="C321" i="1"/>
  <c r="E320" i="1"/>
  <c r="D321" i="1"/>
  <c r="F321" i="1"/>
  <c r="C302" i="1"/>
  <c r="E301" i="1"/>
  <c r="D302" i="1"/>
  <c r="F302" i="1"/>
  <c r="N56" i="5"/>
  <c r="N107" i="5"/>
  <c r="N109" i="5"/>
  <c r="O51" i="5"/>
  <c r="O56" i="5"/>
  <c r="O107" i="5"/>
  <c r="O109" i="5"/>
  <c r="P51" i="5"/>
  <c r="P56" i="5"/>
  <c r="F220" i="1"/>
  <c r="E220" i="1"/>
  <c r="C341" i="1"/>
  <c r="E340" i="1"/>
  <c r="D341" i="1"/>
  <c r="F341" i="1"/>
  <c r="C322" i="1"/>
  <c r="E321" i="1"/>
  <c r="D322" i="1"/>
  <c r="F322" i="1"/>
  <c r="C303" i="1"/>
  <c r="E302" i="1"/>
  <c r="D303" i="1"/>
  <c r="F303" i="1"/>
  <c r="C221" i="1"/>
  <c r="E341" i="1"/>
  <c r="F327" i="1"/>
  <c r="E322" i="1"/>
  <c r="F308" i="1"/>
  <c r="E303" i="1"/>
  <c r="F289" i="1"/>
  <c r="D221" i="1"/>
  <c r="F221" i="1"/>
  <c r="E221" i="1"/>
  <c r="C222" i="1"/>
  <c r="D222" i="1"/>
  <c r="F222" i="1"/>
  <c r="E222" i="1"/>
  <c r="C223" i="1"/>
  <c r="D223" i="1"/>
  <c r="F223" i="1"/>
  <c r="E223" i="1"/>
  <c r="C224" i="1"/>
  <c r="D224" i="1"/>
  <c r="F224" i="1"/>
  <c r="E224" i="1"/>
  <c r="C225" i="1"/>
  <c r="D225" i="1"/>
  <c r="F225" i="1"/>
  <c r="E225" i="1"/>
  <c r="C226" i="1"/>
  <c r="D226" i="1"/>
  <c r="F226" i="1"/>
  <c r="E226" i="1"/>
  <c r="C227" i="1"/>
  <c r="F213" i="1"/>
  <c r="D227" i="1"/>
  <c r="F227" i="1"/>
  <c r="E227" i="1"/>
  <c r="P73" i="5" l="1"/>
  <c r="P72" i="5"/>
  <c r="C369" i="1"/>
  <c r="C350" i="1"/>
  <c r="E349" i="1"/>
  <c r="D350" i="1" s="1"/>
  <c r="F350" i="1" s="1"/>
  <c r="H170" i="13"/>
  <c r="H182" i="13"/>
  <c r="H199" i="13"/>
  <c r="H194" i="13"/>
  <c r="H195" i="13" s="1"/>
  <c r="H196" i="13" s="1"/>
  <c r="H197" i="13" s="1"/>
  <c r="H198" i="13" s="1"/>
  <c r="P36" i="5" l="1"/>
  <c r="P40" i="5"/>
  <c r="P42" i="5" s="1"/>
  <c r="P74" i="5"/>
  <c r="P107" i="5"/>
  <c r="P109" i="5" s="1"/>
  <c r="D369" i="1"/>
  <c r="F369" i="1" s="1"/>
  <c r="B370" i="1" s="1"/>
  <c r="C351" i="1"/>
  <c r="E350" i="1"/>
  <c r="D351" i="1" s="1"/>
  <c r="F351" i="1" s="1"/>
  <c r="C370" i="1" l="1"/>
  <c r="C352" i="1"/>
  <c r="E351" i="1"/>
  <c r="D352" i="1" s="1"/>
  <c r="F352" i="1" s="1"/>
  <c r="D370" i="1" l="1"/>
  <c r="F370" i="1" s="1"/>
  <c r="B371" i="1" s="1"/>
  <c r="C353" i="1"/>
  <c r="E352" i="1"/>
  <c r="D353" i="1" s="1"/>
  <c r="F353" i="1" s="1"/>
  <c r="C371" i="1" l="1"/>
  <c r="C354" i="1"/>
  <c r="E353" i="1"/>
  <c r="D354" i="1" s="1"/>
  <c r="F354" i="1" s="1"/>
  <c r="D371" i="1" l="1"/>
  <c r="F371" i="1" s="1"/>
  <c r="B372" i="1" s="1"/>
  <c r="C355" i="1"/>
  <c r="E354" i="1"/>
  <c r="D355" i="1" s="1"/>
  <c r="F355" i="1" s="1"/>
  <c r="C372" i="1" l="1"/>
  <c r="C356" i="1"/>
  <c r="E355" i="1"/>
  <c r="D356" i="1" s="1"/>
  <c r="F356" i="1" s="1"/>
  <c r="D372" i="1" l="1"/>
  <c r="C357" i="1"/>
  <c r="E356" i="1"/>
  <c r="D357" i="1" s="1"/>
  <c r="F357" i="1" s="1"/>
  <c r="F372" i="1" l="1"/>
  <c r="B373" i="1" s="1"/>
  <c r="C358" i="1"/>
  <c r="E357" i="1"/>
  <c r="D358" i="1" s="1"/>
  <c r="F358" i="1" s="1"/>
  <c r="C373" i="1" l="1"/>
  <c r="C359" i="1"/>
  <c r="E358" i="1"/>
  <c r="D359" i="1" s="1"/>
  <c r="F359" i="1" s="1"/>
  <c r="D373" i="1" l="1"/>
  <c r="C360" i="1"/>
  <c r="E359" i="1"/>
  <c r="D360" i="1" s="1"/>
  <c r="F360" i="1" s="1"/>
  <c r="F373" i="1" l="1"/>
  <c r="B374" i="1" s="1"/>
  <c r="E360" i="1"/>
  <c r="F346" i="1"/>
  <c r="C374" i="1" l="1"/>
  <c r="D374" i="1" l="1"/>
  <c r="F374" i="1" l="1"/>
  <c r="B375" i="1" s="1"/>
  <c r="C375" i="1" l="1"/>
  <c r="D375" i="1" l="1"/>
  <c r="F375" i="1" l="1"/>
  <c r="B376" i="1" s="1"/>
  <c r="C376" i="1" l="1"/>
  <c r="D376" i="1" l="1"/>
  <c r="F376" i="1" l="1"/>
  <c r="B377" i="1" s="1"/>
  <c r="C377" i="1" l="1"/>
  <c r="D377" i="1" l="1"/>
  <c r="F377" i="1" l="1"/>
  <c r="B378" i="1" s="1"/>
  <c r="C378" i="1" l="1"/>
  <c r="D378" i="1" l="1"/>
  <c r="F379" i="1" l="1"/>
  <c r="G373" i="1"/>
  <c r="F365" i="1" l="1"/>
  <c r="U365" i="1" s="1"/>
  <c r="H374" i="1" l="1"/>
  <c r="G379" i="1"/>
  <c r="F366" i="1" l="1"/>
  <c r="V36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<sst xmlns="http://schemas.openxmlformats.org/spreadsheetml/2006/main" count="2986" uniqueCount="960">
  <si>
    <t>Lun</t>
  </si>
  <si>
    <t>Mar</t>
  </si>
  <si>
    <t>Mie</t>
  </si>
  <si>
    <t>Jue</t>
  </si>
  <si>
    <t>Vie</t>
  </si>
  <si>
    <t>Sap</t>
  </si>
  <si>
    <t>Dom</t>
  </si>
  <si>
    <t>Ene</t>
  </si>
  <si>
    <t>Feb</t>
  </si>
  <si>
    <t>16 Aysa $ 461,40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</si>
  <si>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</si>
  <si>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</si>
  <si>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</si>
  <si>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</si>
  <si>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</si>
  <si>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</si>
  <si>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</si>
  <si>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</si>
  <si>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</si>
  <si>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07/06/2020 cumple Leticia</t>
  </si>
  <si>
    <t>10/06/2020 GAUNA Lautaro Patricio cuota 25/35 $ 7000,00</t>
  </si>
  <si>
    <t>12/06/2020 claro $ 499,00 - 2/1284066536</t>
  </si>
  <si>
    <t>17/06/2020 Aysa $ 461,40</t>
  </si>
  <si>
    <t>21/06/2020 cumple Felipe</t>
  </si>
  <si>
    <t>EXISTENCIA</t>
  </si>
  <si>
    <t>PLAZO FIJO</t>
  </si>
  <si>
    <t>WU</t>
  </si>
  <si>
    <t>U$S</t>
  </si>
  <si>
    <t>TT</t>
  </si>
  <si>
    <t xml:space="preserve">MAUNEL BELGRANO </t>
  </si>
  <si>
    <t>DS</t>
  </si>
  <si>
    <t>GABRIELA MISTRAL</t>
  </si>
  <si>
    <t>COLEGIO STORNI</t>
  </si>
  <si>
    <t>STORNI CLIENTE</t>
  </si>
  <si>
    <t>CL</t>
  </si>
  <si>
    <t>BUSTOS Lidia</t>
  </si>
  <si>
    <t>03/12</t>
  </si>
  <si>
    <t>Leticia cumple años</t>
  </si>
  <si>
    <t>GAUNA Lautaro Patricio</t>
  </si>
  <si>
    <t>25/35</t>
  </si>
  <si>
    <t>CIFARELLI Ricardo</t>
  </si>
  <si>
    <t>11/12</t>
  </si>
  <si>
    <t>08/12</t>
  </si>
  <si>
    <t>CIFARELLI Fabián</t>
  </si>
  <si>
    <t>02/12</t>
  </si>
  <si>
    <t>BENITEZ CUELLA Bruno Fabián</t>
  </si>
  <si>
    <t>BAECKER BENITES Johanna Leticia</t>
  </si>
  <si>
    <t>CLARO - 2/1284066536</t>
  </si>
  <si>
    <t>AMEX</t>
  </si>
  <si>
    <t>22/06/2020</t>
  </si>
  <si>
    <t>AYSA</t>
  </si>
  <si>
    <t>Felipe cumple años</t>
  </si>
  <si>
    <t>VISA BAPRO</t>
  </si>
  <si>
    <t>EDENOR</t>
  </si>
  <si>
    <t>CPM 059780130701029735</t>
  </si>
  <si>
    <t>04/04</t>
  </si>
  <si>
    <t>AA113RY</t>
  </si>
  <si>
    <t>ANTARTIDA</t>
  </si>
  <si>
    <t>SEGURO</t>
  </si>
  <si>
    <t>SALDO</t>
  </si>
  <si>
    <t>WU (MTCN) 273 - 598 - 0967</t>
  </si>
  <si>
    <t>BUSTOS Marta Amelía</t>
  </si>
  <si>
    <t>04/12</t>
  </si>
  <si>
    <t>26/35</t>
  </si>
  <si>
    <t>12/12</t>
  </si>
  <si>
    <t>09/12</t>
  </si>
  <si>
    <t>01/12</t>
  </si>
  <si>
    <t>01/04</t>
  </si>
  <si>
    <t>MESA DE EXÁMEN</t>
  </si>
  <si>
    <t>05/12</t>
  </si>
  <si>
    <t>27/35</t>
  </si>
  <si>
    <t>10/12</t>
  </si>
  <si>
    <t>06/12</t>
  </si>
  <si>
    <t>BAPRO VISA</t>
  </si>
  <si>
    <t>DIC</t>
  </si>
  <si>
    <t>ENE</t>
  </si>
  <si>
    <t>FEB</t>
  </si>
  <si>
    <t>MAR</t>
  </si>
  <si>
    <t>*</t>
  </si>
  <si>
    <t>APELLIDO Nombre</t>
  </si>
  <si>
    <t>existencia</t>
  </si>
  <si>
    <t>ABR</t>
  </si>
  <si>
    <t>MAY</t>
  </si>
  <si>
    <t>JUN</t>
  </si>
  <si>
    <t>JUL</t>
  </si>
  <si>
    <t>AGO</t>
  </si>
  <si>
    <t>SEP</t>
  </si>
  <si>
    <t>OCT</t>
  </si>
  <si>
    <t>NOV</t>
  </si>
  <si>
    <t>Saldo</t>
  </si>
  <si>
    <t>D</t>
  </si>
  <si>
    <t>Caja</t>
  </si>
  <si>
    <t>Fabiana LAVERGATA</t>
  </si>
  <si>
    <t>Jose</t>
  </si>
  <si>
    <t>susana</t>
  </si>
  <si>
    <t>M B                 u$s</t>
  </si>
  <si>
    <t>P P                   u$s</t>
  </si>
  <si>
    <t>Gauaranies      g$s</t>
  </si>
  <si>
    <t>Bapro Ballester</t>
  </si>
  <si>
    <t>Bapro Loma</t>
  </si>
  <si>
    <t>Dolar</t>
  </si>
  <si>
    <t>RFGW</t>
  </si>
  <si>
    <t>CUENTA</t>
  </si>
  <si>
    <t>EXI</t>
  </si>
  <si>
    <t>SAL</t>
  </si>
  <si>
    <t>+</t>
  </si>
  <si>
    <t>BAPRO Capital</t>
  </si>
  <si>
    <t>BAPRO Intereses</t>
  </si>
  <si>
    <t>BELGRANO</t>
  </si>
  <si>
    <t>MISTRAL</t>
  </si>
  <si>
    <t>STORNI CCT 88/90 Indeter</t>
  </si>
  <si>
    <t>STORNI Fuera de convenio</t>
  </si>
  <si>
    <t>Sueldos</t>
  </si>
  <si>
    <t>CIFARELLI Claudio        [06]</t>
  </si>
  <si>
    <t>10 000,00 [12] 1200,00</t>
  </si>
  <si>
    <t>SILVA Marita                 [08]</t>
  </si>
  <si>
    <t>40 000,00 [12] $ 4800,00</t>
  </si>
  <si>
    <t>BOSTOS Evangelina      [12]</t>
  </si>
  <si>
    <t>20 000,00 [12] $ 2400,00</t>
  </si>
  <si>
    <t>Capital</t>
  </si>
  <si>
    <t>PRESTAMOS</t>
  </si>
  <si>
    <t>Intereses</t>
  </si>
  <si>
    <t>-</t>
  </si>
  <si>
    <t>Independencia 553 - 9025</t>
  </si>
  <si>
    <t>INGRESOS</t>
  </si>
  <si>
    <t>EGRESOS</t>
  </si>
  <si>
    <t>SALDOS</t>
  </si>
  <si>
    <t>SUELDOS</t>
  </si>
  <si>
    <t>CIFARELLI Ricardo        [27]</t>
  </si>
  <si>
    <t>15 000,00 [12] $ 1800,00</t>
  </si>
  <si>
    <t>BUSTOS Marta Amelia  [07]</t>
  </si>
  <si>
    <t>20 000,00 [12] 2400,00</t>
  </si>
  <si>
    <t>CIFARELLI Fabian         [02]</t>
  </si>
  <si>
    <t>10 000,00 [12] $ 1200,00</t>
  </si>
  <si>
    <t>CIFARELLI Fabian         [25]</t>
  </si>
  <si>
    <t>1605.87</t>
  </si>
  <si>
    <t>-----</t>
  </si>
  <si>
    <t>BAETKER BENITEZ Johana Leticia</t>
  </si>
  <si>
    <t>BENITES CUELLA Bruno Fabián</t>
  </si>
  <si>
    <t>BEGUERISTAIN Gisela Graciela</t>
  </si>
  <si>
    <t>GAUNA WISNERT Rubén Félix</t>
  </si>
  <si>
    <t>BENITES CUELLA Leticia Liliana</t>
  </si>
  <si>
    <t>HERNÁNDEZ Javier Alberto</t>
  </si>
  <si>
    <t>BENITEZ CUELLA Bruno Fabian</t>
  </si>
  <si>
    <t>BAECKER Johanna Leticia</t>
  </si>
  <si>
    <t>Pasajes</t>
  </si>
  <si>
    <t>Rubén GAUNA WISNERT</t>
  </si>
  <si>
    <t>HERÁNDEZ Javier Alberto</t>
  </si>
  <si>
    <t>BENITEZ CUELLA Liliana Leticia</t>
  </si>
  <si>
    <t>VARIOS</t>
  </si>
  <si>
    <t>amex</t>
  </si>
  <si>
    <t>VISA Bapro</t>
  </si>
  <si>
    <t>TARJETAS</t>
  </si>
  <si>
    <t>aysa</t>
  </si>
  <si>
    <t>gas ban</t>
  </si>
  <si>
    <t>Edenor</t>
  </si>
  <si>
    <t>03678285</t>
  </si>
  <si>
    <t>AA113RY Palio Fire 2016 VTV</t>
  </si>
  <si>
    <t>ARBA INMOB.(047-200629-0 )</t>
  </si>
  <si>
    <t>ALSMI- MUN. (227105/4 )</t>
  </si>
  <si>
    <t>Claro Telefono+Internet</t>
  </si>
  <si>
    <t>impuestos &amp; servicios</t>
  </si>
  <si>
    <t>2020</t>
  </si>
  <si>
    <t>colegio Storni</t>
  </si>
  <si>
    <t>belgrano</t>
  </si>
  <si>
    <t>CLIENTES</t>
  </si>
  <si>
    <t>BUSTOS Marta Amelia</t>
  </si>
  <si>
    <t>CIFARRELLI Fabian - bapro</t>
  </si>
  <si>
    <t>ACREEDORES</t>
  </si>
  <si>
    <t>CASANOVAS Norma Clara</t>
  </si>
  <si>
    <t>CIFARELLI Adriana</t>
  </si>
  <si>
    <t>BUSTOS Lidia Beatriz</t>
  </si>
  <si>
    <t>CORDERO Analía</t>
  </si>
  <si>
    <t>CIFARELLI Fabian</t>
  </si>
  <si>
    <t>FERNÁNDEZ Graciela</t>
  </si>
  <si>
    <t>CIFARELLI Claudio</t>
  </si>
  <si>
    <t>Prestamos</t>
  </si>
  <si>
    <t>varios</t>
  </si>
  <si>
    <t>NATURGY</t>
  </si>
  <si>
    <t>AA113RY Palio Fire 2016</t>
  </si>
  <si>
    <t>arba AA113RY</t>
  </si>
  <si>
    <t>047-200629-0 ARBA INMOB.</t>
  </si>
  <si>
    <t>227105/4 - MUNICIPAL</t>
  </si>
  <si>
    <t>IMPUESTOS &amp; SERVICIOS</t>
  </si>
  <si>
    <t>Ingresos</t>
  </si>
  <si>
    <t>Egresos</t>
  </si>
  <si>
    <t>2019</t>
  </si>
  <si>
    <t>creditos</t>
  </si>
  <si>
    <t>Plazo fijo</t>
  </si>
  <si>
    <t>BELGRANO ADM 88/90</t>
  </si>
  <si>
    <t>sueldos</t>
  </si>
  <si>
    <t>InstitutoChilavert.net</t>
  </si>
  <si>
    <t>clientes</t>
  </si>
  <si>
    <t>08</t>
  </si>
  <si>
    <t/>
  </si>
  <si>
    <t>Alquilar Bogado</t>
  </si>
  <si>
    <t>BUSTOS lidia Beatriz</t>
  </si>
  <si>
    <t>Independencia 9025</t>
  </si>
  <si>
    <t>Acreedores</t>
  </si>
  <si>
    <t>tarjetas</t>
  </si>
  <si>
    <t>Telecom</t>
  </si>
  <si>
    <t>Personal</t>
  </si>
  <si>
    <t>BAPRO</t>
  </si>
  <si>
    <t>Saldos</t>
  </si>
  <si>
    <t>Creditos</t>
  </si>
  <si>
    <t>GAUNA Ruben arnaldo</t>
  </si>
  <si>
    <t>CASANOVAS Norma</t>
  </si>
  <si>
    <t>LAVERGATA Fabiana</t>
  </si>
  <si>
    <t>LAVERGATA Soledad</t>
  </si>
  <si>
    <t>Colegios</t>
  </si>
  <si>
    <t>BEL ADM 88/90</t>
  </si>
  <si>
    <t>DEL DOC</t>
  </si>
  <si>
    <t>BEL EXT</t>
  </si>
  <si>
    <t>BEL INS</t>
  </si>
  <si>
    <t>MIS DOC</t>
  </si>
  <si>
    <t>Storni</t>
  </si>
  <si>
    <t>Storni Insumos</t>
  </si>
  <si>
    <t>Colegio San Andrés</t>
  </si>
  <si>
    <t>colegio Libertad</t>
  </si>
  <si>
    <t>CREDITOS</t>
  </si>
  <si>
    <t>CASASNOVAS Norma</t>
  </si>
  <si>
    <t>Seguro AA 113 RY</t>
  </si>
  <si>
    <t>BAETCKER BENITEZ Johana Leticia</t>
  </si>
  <si>
    <t>IMPUESTOS</t>
  </si>
  <si>
    <t>TARJETAS DE CREDITO &amp; COMPRA</t>
  </si>
  <si>
    <t>VISA Hipotecario</t>
  </si>
  <si>
    <t>Divorcio</t>
  </si>
  <si>
    <t>BEGUERISTAIN Gisela</t>
  </si>
  <si>
    <t>BENITES CUELLA Leticia</t>
  </si>
  <si>
    <t>HERNÁNDEZ Javier</t>
  </si>
  <si>
    <t>LEGUIZAMÓN Florencia</t>
  </si>
  <si>
    <t>La Cobacha</t>
  </si>
  <si>
    <t>totales</t>
  </si>
  <si>
    <t xml:space="preserve">Lun </t>
  </si>
  <si>
    <t>08 00 Hs.</t>
  </si>
  <si>
    <t>Mistral</t>
  </si>
  <si>
    <t>Libertad</t>
  </si>
  <si>
    <t>Mañana</t>
  </si>
  <si>
    <t>09 00 Hs.</t>
  </si>
  <si>
    <t>10 00 Hs.</t>
  </si>
  <si>
    <t>11 00 Hs.</t>
  </si>
  <si>
    <t>13 00 Hs.</t>
  </si>
  <si>
    <t>Belgrano</t>
  </si>
  <si>
    <t>Tarde</t>
  </si>
  <si>
    <t>14 00 Hs.</t>
  </si>
  <si>
    <t>15 00 Hs.</t>
  </si>
  <si>
    <t>16 00 Hs.</t>
  </si>
  <si>
    <t>Haberes</t>
  </si>
  <si>
    <t>INDEPENDENCIA NACIONAL 9025</t>
  </si>
  <si>
    <t>FEBRERO</t>
  </si>
  <si>
    <t>Fecha</t>
  </si>
  <si>
    <t>Importe</t>
  </si>
  <si>
    <t>Descripción</t>
  </si>
  <si>
    <t>Cant.</t>
  </si>
  <si>
    <t>Debe</t>
  </si>
  <si>
    <t>Haber</t>
  </si>
  <si>
    <t>WU - MTCN 3574101159</t>
  </si>
  <si>
    <t>pesos a confirmar</t>
  </si>
  <si>
    <t>dolares a confirmar</t>
  </si>
  <si>
    <t>Dolares confirmados</t>
  </si>
  <si>
    <t>MARZO</t>
  </si>
  <si>
    <t>pesos</t>
  </si>
  <si>
    <t>WU - MTCN 172-742-0858</t>
  </si>
  <si>
    <t>AIRE Cuota 03/05</t>
  </si>
  <si>
    <t>DOLARES U$S 300,00</t>
  </si>
  <si>
    <t>LUZ (ANDE) IN9025</t>
  </si>
  <si>
    <t>AGUA IN9025</t>
  </si>
  <si>
    <t>LUZ      GRANERO</t>
  </si>
  <si>
    <t>AGUA  GRANERO</t>
  </si>
  <si>
    <t>POSTE KARANDAY</t>
  </si>
  <si>
    <t>CABLE PRE-ENSANBLADO</t>
  </si>
  <si>
    <t>LLAVE TÉRMICA 10 a</t>
  </si>
  <si>
    <t>MANO DE OBRA ELECTRICISTA</t>
  </si>
  <si>
    <t>12BULONES 518 X 4 PULGADAS</t>
  </si>
  <si>
    <t>ABRIL</t>
  </si>
  <si>
    <t>AIRE Cuota 04/05</t>
  </si>
  <si>
    <t>LIMPIEZA GRANERO</t>
  </si>
  <si>
    <t>LICENCIA MOTO</t>
  </si>
  <si>
    <t>PORTON</t>
  </si>
  <si>
    <t>CERCADO</t>
  </si>
  <si>
    <t>MAYO</t>
  </si>
  <si>
    <t>AIRE Cuota 05/05</t>
  </si>
  <si>
    <t>AGUA          IN9025</t>
  </si>
  <si>
    <t xml:space="preserve">AGUA          GRANERO </t>
  </si>
  <si>
    <t>LUZ             GRANERO</t>
  </si>
  <si>
    <t>GRANERO LIMPIEZA</t>
  </si>
  <si>
    <t>JUNIO</t>
  </si>
  <si>
    <t xml:space="preserve">ESCRIBANIA MELGRAREJO </t>
  </si>
  <si>
    <t>1/7</t>
  </si>
  <si>
    <t>TUBO DE 80 CM</t>
  </si>
  <si>
    <t>CEMENTO</t>
  </si>
  <si>
    <t xml:space="preserve">ARENA </t>
  </si>
  <si>
    <t>MURACAL</t>
  </si>
  <si>
    <t xml:space="preserve">LADRILLOS COMUNES </t>
  </si>
  <si>
    <t>COMBUSTIBLE</t>
  </si>
  <si>
    <t>AGUA          GRANERO (ABR MAY)</t>
  </si>
  <si>
    <t xml:space="preserve">PREPARACIÓN DEL SUELO </t>
  </si>
  <si>
    <t>JULIO</t>
  </si>
  <si>
    <t>WU - (MTCN) 273 - 598 - 0967</t>
  </si>
  <si>
    <t>BANCO TT</t>
  </si>
  <si>
    <t>2/7</t>
  </si>
  <si>
    <t>RIPIO</t>
  </si>
  <si>
    <t>MANO DE OBRA</t>
  </si>
  <si>
    <t>IMPUESTO</t>
  </si>
  <si>
    <t>PODA</t>
  </si>
  <si>
    <t xml:space="preserve">TECHO </t>
  </si>
  <si>
    <t>1/4</t>
  </si>
  <si>
    <t>AGOSTO</t>
  </si>
  <si>
    <t>WU (MTCN) 167 - 976 - 5214</t>
  </si>
  <si>
    <t>3/7</t>
  </si>
  <si>
    <t>CAL</t>
  </si>
  <si>
    <t>CERESITA</t>
  </si>
  <si>
    <t>2/4</t>
  </si>
  <si>
    <t>BULONES 5/8 DE 4 pulgdas con arandela</t>
  </si>
  <si>
    <t>VARILLAS DE 10mm para tensores</t>
  </si>
  <si>
    <t>VIGA 4,50 metros de 5x3 pulgadas</t>
  </si>
  <si>
    <t>TIJERA DE 3,70 metros de 5x2 pulgadas</t>
  </si>
  <si>
    <t>TIRANTES de 3 metros de 3x1 pulgadas</t>
  </si>
  <si>
    <t>CLAVO DE 2 PULGADAS</t>
  </si>
  <si>
    <t>CLAVO DE 3 PULGADAS</t>
  </si>
  <si>
    <t>SEPTIEMBRE</t>
  </si>
  <si>
    <t>WU - (MTCN)    641 - 284 - 7781 - 24/08/2020</t>
  </si>
  <si>
    <t>4/7</t>
  </si>
  <si>
    <t>JARDINERÍA</t>
  </si>
  <si>
    <t>3/4</t>
  </si>
  <si>
    <t>CORPIR Y RASTRILLAJE</t>
  </si>
  <si>
    <t>OCTUBRE</t>
  </si>
  <si>
    <t>WU - (MTCN)    345 - 644 - 5717 - 21/09/2020</t>
  </si>
  <si>
    <t>5/7</t>
  </si>
  <si>
    <t>4/4</t>
  </si>
  <si>
    <t>NOVIEMBRE</t>
  </si>
  <si>
    <t>WU - (MTCN) 728 - 619 - 5182 - 15/10/2020</t>
  </si>
  <si>
    <t>6/7</t>
  </si>
  <si>
    <t>DIC 2020</t>
  </si>
  <si>
    <t>02/01/2021</t>
  </si>
  <si>
    <t>ESSAP  IN9025  (03/11 - 03/12)</t>
  </si>
  <si>
    <t>31/12/2020</t>
  </si>
  <si>
    <t>ANDE    IN9025 (12/11 - 10/12) 0010671448463</t>
  </si>
  <si>
    <t>7/7</t>
  </si>
  <si>
    <t>CERAMICA (4.70 * 3 + 3.10 * 3)</t>
  </si>
  <si>
    <t>CLAUCOL (25.000X 25 KG.)</t>
  </si>
  <si>
    <t>POSTES</t>
  </si>
  <si>
    <t>CORPIDA Y RASTRILLADO</t>
  </si>
  <si>
    <t>ATENCIÓN  VECINO</t>
  </si>
  <si>
    <t>Impuesto ISLA ALTA</t>
  </si>
  <si>
    <t>ANUAL ACUMULADO</t>
  </si>
  <si>
    <t>ENE 2021</t>
  </si>
  <si>
    <t>CAJA</t>
  </si>
  <si>
    <t>ESSAP        IN9025</t>
  </si>
  <si>
    <t>28/01/2021</t>
  </si>
  <si>
    <t>ANDE (10/12/20 - 11/01/21)</t>
  </si>
  <si>
    <t xml:space="preserve">CORPIDA  </t>
  </si>
  <si>
    <t>FEB 2021</t>
  </si>
  <si>
    <t>WU (971-654-3790)</t>
  </si>
  <si>
    <t>ANDE (3059964)</t>
  </si>
  <si>
    <t>CORPIDA</t>
  </si>
  <si>
    <t>MAR 2021</t>
  </si>
  <si>
    <t>WU (803-951-1188)</t>
  </si>
  <si>
    <t>SAP        IN9025</t>
  </si>
  <si>
    <t>RANDAL 250ml(mata yuyo)</t>
  </si>
  <si>
    <t>TAXIFLE (tirar ramas)</t>
  </si>
  <si>
    <t>PODA ARBOL VEREDA</t>
  </si>
  <si>
    <t>TIRANTES 4 X 3 MTS. 788X800</t>
  </si>
  <si>
    <t>POSTE ATRÁS</t>
  </si>
  <si>
    <t>POSTE COSTADO</t>
  </si>
  <si>
    <t>ESQUINERO TIÑO ANGELITO</t>
  </si>
  <si>
    <t>BOLONES 4 X 22</t>
  </si>
  <si>
    <t>ABR 2021</t>
  </si>
  <si>
    <t>WU (751-279-2278)</t>
  </si>
  <si>
    <t>SAP     IN9025</t>
  </si>
  <si>
    <t>ANDE  IN9025 - 3059964</t>
  </si>
  <si>
    <t xml:space="preserve">SAP    GRANERO </t>
  </si>
  <si>
    <t>ANDE  GRANERO</t>
  </si>
  <si>
    <t>Patron 4791 2020</t>
  </si>
  <si>
    <t>Patron 4792 2021</t>
  </si>
  <si>
    <t>MAY 2021</t>
  </si>
  <si>
    <t>WU (751-098-5418)</t>
  </si>
  <si>
    <t>JUN 2021</t>
  </si>
  <si>
    <t>ANUAL ACUMULADO 2021</t>
  </si>
  <si>
    <t>INVENTARIO</t>
  </si>
  <si>
    <t>existencia - dolares</t>
  </si>
  <si>
    <t>MOTONETA</t>
  </si>
  <si>
    <t>HOTEL</t>
  </si>
  <si>
    <t>GRANERO</t>
  </si>
  <si>
    <t>CABALLOS</t>
  </si>
  <si>
    <t>ISLA ALTA - HECTÁREAS</t>
  </si>
  <si>
    <t>PRESUPUESTO</t>
  </si>
  <si>
    <t>VARILLAS DE HIERRO 12 mm(P/TAPA)</t>
  </si>
  <si>
    <t>ARENA</t>
  </si>
  <si>
    <t>TRITURADO</t>
  </si>
  <si>
    <t>BOLSAS DE CEMENTO</t>
  </si>
  <si>
    <t>CAÑO DE 100 MM</t>
  </si>
  <si>
    <t>LITROS DE MURACOL</t>
  </si>
  <si>
    <t>LADRILLOS HUECOS</t>
  </si>
  <si>
    <t>TECHADO - T. DE C.SÉPTICA - P. CIEGO</t>
  </si>
  <si>
    <t>BAÑO(VIDE-PILETA C/PEDESTAL - CAÑO MOCHILA Y BAJADA VIDE Y PORTA JABONERA</t>
  </si>
  <si>
    <t>VAQUILLA DESMAMANTE</t>
  </si>
  <si>
    <t>ADIESTRAMIENTO DE CABALO</t>
  </si>
  <si>
    <t>Rubén Félix GAUNA WISNERT</t>
  </si>
  <si>
    <t>ENERO</t>
  </si>
  <si>
    <t>FECHA</t>
  </si>
  <si>
    <t>DETALLE</t>
  </si>
  <si>
    <t>DEBE</t>
  </si>
  <si>
    <t>HABER</t>
  </si>
  <si>
    <t>49-313661/1</t>
  </si>
  <si>
    <t>49-384527/1</t>
  </si>
  <si>
    <t>TELECOM</t>
  </si>
  <si>
    <t>Naturgy BAN</t>
  </si>
  <si>
    <t>ALSMI Anual</t>
  </si>
  <si>
    <t>GAS</t>
  </si>
  <si>
    <t>RENTA Anual  047-170906-9</t>
  </si>
  <si>
    <t>CA 49-313661/1</t>
  </si>
  <si>
    <t>CA 49-384527/1</t>
  </si>
  <si>
    <t xml:space="preserve">Aysa  </t>
  </si>
  <si>
    <t>Energy BAN</t>
  </si>
  <si>
    <t>Edenor             (07/05/20)</t>
  </si>
  <si>
    <t>Naturgy BAN    (12/05/20)</t>
  </si>
  <si>
    <t>Telecom           (19/05/20)</t>
  </si>
  <si>
    <t>AySA               (18/06/2020)</t>
  </si>
  <si>
    <t>Edenor             (10/06/2020)</t>
  </si>
  <si>
    <t>Naturgy BAN    (05/06/2020)</t>
  </si>
  <si>
    <t>Telecom           (19/06/2020)</t>
  </si>
  <si>
    <t>AySA               (17/07/2020)</t>
  </si>
  <si>
    <t>Edenor             (13/07/2020)</t>
  </si>
  <si>
    <t>Naturgy BAN    ()</t>
  </si>
  <si>
    <t>Telecom           (19/07/2020)</t>
  </si>
  <si>
    <t>AySA        (12/08/2020) PE 0001668094</t>
  </si>
  <si>
    <t>Edenor      (10/08/2020) PE 005131389804</t>
  </si>
  <si>
    <t>Naturgy     (12/08/2020) PE 09214628</t>
  </si>
  <si>
    <t>Telecom    (19/08/2020) 489069-079970-023230</t>
  </si>
  <si>
    <t>El número de autorización es 009586</t>
  </si>
  <si>
    <t>AySA        (16/09/2020) PE 0001668094</t>
  </si>
  <si>
    <t>Edenor      (09/09/2020) PE 005131389804</t>
  </si>
  <si>
    <t>Naturgy     (14/09/2020) PE 09214628</t>
  </si>
  <si>
    <t>Telecom    (99/09/2020) 489069-079970-023230</t>
  </si>
  <si>
    <t xml:space="preserve">AySA        </t>
  </si>
  <si>
    <t xml:space="preserve">Edenor      </t>
  </si>
  <si>
    <t xml:space="preserve">Naturgy    </t>
  </si>
  <si>
    <t xml:space="preserve">Telecom    </t>
  </si>
  <si>
    <t>AySA         - 11/11/2020</t>
  </si>
  <si>
    <t>Edenor      - 10/11/2020</t>
  </si>
  <si>
    <t>Naturgy     - 12/11/2020</t>
  </si>
  <si>
    <t>Telecom    - 18/11/2020</t>
  </si>
  <si>
    <t>20</t>
  </si>
  <si>
    <t>AySA         - 11/12/2020</t>
  </si>
  <si>
    <t>Edenor      - 09/12/2020</t>
  </si>
  <si>
    <t>Naturgy     - 09/12/2020</t>
  </si>
  <si>
    <t>Telecom    - 17/12/2020</t>
  </si>
  <si>
    <t>21</t>
  </si>
  <si>
    <t xml:space="preserve">ENE </t>
  </si>
  <si>
    <t>AySA         - 11/01/2020</t>
  </si>
  <si>
    <t>Edenor      - 09/01/2020</t>
  </si>
  <si>
    <t>Naturgy     - 09/01/2020</t>
  </si>
  <si>
    <t>Telecom    - 17/01/2020</t>
  </si>
  <si>
    <t>AySA         - 11/02/2020</t>
  </si>
  <si>
    <t>Edenor      - 09/02/2020</t>
  </si>
  <si>
    <t>Naturgy     - 09/02/2020</t>
  </si>
  <si>
    <t>Telecom    - 17/02/2020</t>
  </si>
  <si>
    <t>ALSMI</t>
  </si>
  <si>
    <t>ARBA</t>
  </si>
  <si>
    <t xml:space="preserve">MAR </t>
  </si>
  <si>
    <t>AySA         - 17/03/2020</t>
  </si>
  <si>
    <t>Edenor      - 11/03/2020</t>
  </si>
  <si>
    <t>Naturgy      - 15/03/2020</t>
  </si>
  <si>
    <t>Telecom     - 18/03/2020</t>
  </si>
  <si>
    <t>AySA         - 14/04/2020</t>
  </si>
  <si>
    <t xml:space="preserve">MAY </t>
  </si>
  <si>
    <t>AySA         - 18/05/2020</t>
  </si>
  <si>
    <t>Edenor      - 11/05/2020</t>
  </si>
  <si>
    <t>Naturgy      - 17/05/2020</t>
  </si>
  <si>
    <t>Telecom     - 18/05/2020</t>
  </si>
  <si>
    <t xml:space="preserve">CAJA </t>
  </si>
  <si>
    <t>AySA         - 15/06/2020</t>
  </si>
  <si>
    <t>Edenor      - 10/06/2020</t>
  </si>
  <si>
    <t>Naturgy      - 14/06/2020</t>
  </si>
  <si>
    <t>Telecom     - 18/06/2020</t>
  </si>
  <si>
    <t>VACAS</t>
  </si>
  <si>
    <t>GRUPO GLOBUS</t>
  </si>
  <si>
    <t>ALQUILER ANTENA</t>
  </si>
  <si>
    <t>SUCESIÓN Justa Pastora WISNERT de GAUNA</t>
  </si>
  <si>
    <t>fecha</t>
  </si>
  <si>
    <t>precio</t>
  </si>
  <si>
    <t>descripcion</t>
  </si>
  <si>
    <t>cant.</t>
  </si>
  <si>
    <t xml:space="preserve">debe </t>
  </si>
  <si>
    <t xml:space="preserve">haber </t>
  </si>
  <si>
    <t>saldo</t>
  </si>
  <si>
    <t>Teté</t>
  </si>
  <si>
    <t>Atín</t>
  </si>
  <si>
    <t>Yiyo Sucesión</t>
  </si>
  <si>
    <t>Nita</t>
  </si>
  <si>
    <t>BAÑO                                (VICENTE)</t>
  </si>
  <si>
    <t>CONTRAPISO</t>
  </si>
  <si>
    <t>ARREGLO TOAL DE LA CASA CON HIERRO</t>
  </si>
  <si>
    <t xml:space="preserve">Y REBOQUE </t>
  </si>
  <si>
    <t>CAÑOS DE AGUA</t>
  </si>
  <si>
    <t>DERECHO A CONECCIÓN</t>
  </si>
  <si>
    <t>ACTIVO CORRIENTE</t>
  </si>
  <si>
    <t>Caballo</t>
  </si>
  <si>
    <t>Yegua</t>
  </si>
  <si>
    <t>Toro</t>
  </si>
  <si>
    <t>Vaca</t>
  </si>
  <si>
    <t>Novillo</t>
  </si>
  <si>
    <t>Ternero</t>
  </si>
  <si>
    <t xml:space="preserve">Ruben </t>
  </si>
  <si>
    <t>Atin</t>
  </si>
  <si>
    <t>Lilu</t>
  </si>
  <si>
    <t>Carlos</t>
  </si>
  <si>
    <t>foscam</t>
  </si>
  <si>
    <t>FI9816P</t>
  </si>
  <si>
    <t>admin</t>
  </si>
  <si>
    <t>felipe17</t>
  </si>
  <si>
    <t>e8:ab:fa:9d:d5:f2</t>
  </si>
  <si>
    <t>Felipe</t>
  </si>
  <si>
    <t>Gabriel</t>
  </si>
  <si>
    <t>Laura</t>
  </si>
  <si>
    <t>Dolares</t>
  </si>
  <si>
    <t>Pesos</t>
  </si>
  <si>
    <t>Guararies</t>
  </si>
  <si>
    <t>Ramon</t>
  </si>
  <si>
    <t>en la financiera por los 100 dolares me ofrecian 460000 guaranies para que rinda mas le cambie a pesos</t>
  </si>
  <si>
    <t>y como la cuota estaba vencida por ello le dije a la empleada que los interes los arregle con vos</t>
  </si>
  <si>
    <t>A Ramon le deje toda la documentación</t>
  </si>
  <si>
    <t>https://1drv.ms/x/s!AnOjTzBbE1vqpViqAPSuQnAVVQRl</t>
  </si>
  <si>
    <t>Español(es)</t>
  </si>
  <si>
    <t>Inglés(en)</t>
  </si>
  <si>
    <t>Fránces(fr)</t>
  </si>
  <si>
    <t>Ruso(ru)</t>
  </si>
  <si>
    <t>Japonés(ja)</t>
  </si>
  <si>
    <t>Portugués(pt)</t>
  </si>
  <si>
    <t>Buenos dias</t>
  </si>
  <si>
    <t>Cuando uno quiere algo lo compra , si no tiene precio lo conquista y lo conquistado es para siempre y lo comprado es efímero, teoría cristobaliana, Colon conquisto américa para siempre, lópez compro a brucke por unos días</t>
  </si>
  <si>
    <t>7cZ5k7</t>
  </si>
  <si>
    <t>SUPREMA CORTE DE JUSTICIA - NOTIFICACIONES ELECTRÓNICAS (scba.gov.ar)</t>
  </si>
  <si>
    <t>CUOTA</t>
  </si>
  <si>
    <t>CUIL</t>
  </si>
  <si>
    <t>Telefono</t>
  </si>
  <si>
    <t>Ajuste</t>
  </si>
  <si>
    <t>58</t>
  </si>
  <si>
    <t>Reembolso</t>
  </si>
  <si>
    <t>T.E.M</t>
  </si>
  <si>
    <t>Int. Comp.</t>
  </si>
  <si>
    <t>Meses</t>
  </si>
  <si>
    <t>Utilidad</t>
  </si>
  <si>
    <t>Valor Cta</t>
  </si>
  <si>
    <t>Cuota</t>
  </si>
  <si>
    <t>VTO.</t>
  </si>
  <si>
    <t>Interés</t>
  </si>
  <si>
    <t>AmorTiz.</t>
  </si>
  <si>
    <t>01400519 - 03515508268478 - 17861425</t>
  </si>
  <si>
    <t>Fabian</t>
  </si>
  <si>
    <t>59</t>
  </si>
  <si>
    <t>Norma</t>
  </si>
  <si>
    <t>60</t>
  </si>
  <si>
    <t>Ricardo</t>
  </si>
  <si>
    <t>61</t>
  </si>
  <si>
    <t>Adriana</t>
  </si>
  <si>
    <t>62</t>
  </si>
  <si>
    <t>comisión</t>
  </si>
  <si>
    <t>capital</t>
  </si>
  <si>
    <t>cuota</t>
  </si>
  <si>
    <t>63</t>
  </si>
  <si>
    <t>Lidia</t>
  </si>
  <si>
    <t>64</t>
  </si>
  <si>
    <t>Analía</t>
  </si>
  <si>
    <t>65</t>
  </si>
  <si>
    <t>Fabián</t>
  </si>
  <si>
    <t>Capital Reembol</t>
  </si>
  <si>
    <t>Reembol</t>
  </si>
  <si>
    <t>66</t>
  </si>
  <si>
    <t>67</t>
  </si>
  <si>
    <t>=C194*#¡REF!C237</t>
  </si>
  <si>
    <t>Claudio</t>
  </si>
  <si>
    <t>Rdondeo</t>
  </si>
  <si>
    <t>70</t>
  </si>
  <si>
    <t>71</t>
  </si>
  <si>
    <t>72</t>
  </si>
  <si>
    <t>Marta</t>
  </si>
  <si>
    <t>73</t>
  </si>
  <si>
    <t>74</t>
  </si>
  <si>
    <t>75</t>
  </si>
  <si>
    <t>76</t>
  </si>
  <si>
    <t>Marita</t>
  </si>
  <si>
    <t>77</t>
  </si>
  <si>
    <t>Evangelina</t>
  </si>
  <si>
    <t>Redondeo</t>
  </si>
  <si>
    <t>2178</t>
  </si>
  <si>
    <t>Prespamo:</t>
  </si>
  <si>
    <t>Razon:</t>
  </si>
  <si>
    <t>Cuotas Ms.</t>
  </si>
  <si>
    <t>T.E.M.</t>
  </si>
  <si>
    <t>CuotaValor</t>
  </si>
  <si>
    <t>Valor Cuota</t>
  </si>
  <si>
    <t>Ç=</t>
  </si>
  <si>
    <t>P</t>
  </si>
  <si>
    <t>Prestamo:</t>
  </si>
  <si>
    <t>N</t>
  </si>
  <si>
    <t>CuotasMensuales</t>
  </si>
  <si>
    <t>Graciela</t>
  </si>
  <si>
    <t>I</t>
  </si>
  <si>
    <t>tem</t>
  </si>
  <si>
    <t>R</t>
  </si>
  <si>
    <t>Valor de la cuota mensual</t>
  </si>
  <si>
    <t>MES</t>
  </si>
  <si>
    <t>INICIAL</t>
  </si>
  <si>
    <t>INTERES</t>
  </si>
  <si>
    <t>AMORT.</t>
  </si>
  <si>
    <t>Ajuste:</t>
  </si>
  <si>
    <t>TEM</t>
  </si>
  <si>
    <t>Apellido nombre</t>
  </si>
  <si>
    <t>debe</t>
  </si>
  <si>
    <t>habe</t>
  </si>
  <si>
    <t>claro</t>
  </si>
  <si>
    <t>Lautaro</t>
  </si>
  <si>
    <t>18/35</t>
  </si>
  <si>
    <t>visa bapro</t>
  </si>
  <si>
    <t>19 35</t>
  </si>
  <si>
    <t>Claro</t>
  </si>
  <si>
    <t>20/35</t>
  </si>
  <si>
    <t>Graciela &amp; ricardo</t>
  </si>
  <si>
    <t>Titi</t>
  </si>
  <si>
    <t>edenor</t>
  </si>
  <si>
    <t>03/20/2020</t>
  </si>
  <si>
    <t>Analía CARDERO</t>
  </si>
  <si>
    <t>21/35</t>
  </si>
  <si>
    <t>Aysa</t>
  </si>
  <si>
    <t>Telecom - Parana</t>
  </si>
  <si>
    <t>001943</t>
  </si>
  <si>
    <t>graciela y recardo</t>
  </si>
  <si>
    <t>graciela</t>
  </si>
  <si>
    <t>ricardo</t>
  </si>
  <si>
    <t>adriana</t>
  </si>
  <si>
    <t>fabian</t>
  </si>
  <si>
    <t>analia cordero</t>
  </si>
  <si>
    <t>Marta Bustos</t>
  </si>
  <si>
    <t>pf bapro</t>
  </si>
  <si>
    <t>bapro - visa</t>
  </si>
  <si>
    <t>blegrano</t>
  </si>
  <si>
    <t>bapro pf</t>
  </si>
  <si>
    <t>23/35</t>
  </si>
  <si>
    <t>estrada</t>
  </si>
  <si>
    <t>AA113RY seguro</t>
  </si>
  <si>
    <t xml:space="preserve">Ricardo </t>
  </si>
  <si>
    <t>24 35</t>
  </si>
  <si>
    <t xml:space="preserve">edenor </t>
  </si>
  <si>
    <t>STORNI</t>
  </si>
  <si>
    <t>Fabian cifarelli</t>
  </si>
  <si>
    <t>Póliza 03678285 1/4</t>
  </si>
  <si>
    <t>plazo fijo</t>
  </si>
  <si>
    <t xml:space="preserve">Edenor </t>
  </si>
  <si>
    <t>ARBA 166184390120</t>
  </si>
  <si>
    <t>2021-00</t>
  </si>
  <si>
    <t>Trx Arba. 14823123</t>
  </si>
  <si>
    <t>00002412</t>
  </si>
  <si>
    <t>ANTARTIDA SEGUROS (8497)</t>
  </si>
  <si>
    <t>80202383</t>
  </si>
  <si>
    <t>001061835</t>
  </si>
  <si>
    <t>CUOTA 02</t>
  </si>
  <si>
    <t>ALSI Anual (227105) roca</t>
  </si>
  <si>
    <t>ANTARTIDA SEGUROS (03678285)</t>
  </si>
  <si>
    <t>03/04</t>
  </si>
  <si>
    <t>ALSI Anual (201354) paraná</t>
  </si>
  <si>
    <t xml:space="preserve">MTV </t>
  </si>
  <si>
    <t>ARBA (047-200629-0)</t>
  </si>
  <si>
    <t>33 35</t>
  </si>
  <si>
    <t>fabian cifarelli</t>
  </si>
  <si>
    <t>22/02/2021</t>
  </si>
  <si>
    <t>HI</t>
  </si>
  <si>
    <t>ANTARTIDA SEGUROS</t>
  </si>
  <si>
    <t>34/35</t>
  </si>
  <si>
    <t>bapro inversnes pf</t>
  </si>
  <si>
    <t>35/35</t>
  </si>
  <si>
    <t>Javis</t>
  </si>
  <si>
    <t>CEA srl</t>
  </si>
  <si>
    <t>RFGW - 200000,00 /40</t>
  </si>
  <si>
    <t>marita</t>
  </si>
  <si>
    <t>Leticia</t>
  </si>
  <si>
    <t>Poliza 04384366</t>
  </si>
  <si>
    <t>Inversiones bapro</t>
  </si>
  <si>
    <t>rfgw - 200000,00 /40</t>
  </si>
  <si>
    <t>visabapro</t>
  </si>
  <si>
    <t>DU</t>
  </si>
  <si>
    <t>apellidoNombre</t>
  </si>
  <si>
    <t>alta</t>
  </si>
  <si>
    <t>baja</t>
  </si>
  <si>
    <t>cux</t>
  </si>
  <si>
    <t>DOMICILIO</t>
  </si>
  <si>
    <t>nacimiento</t>
  </si>
  <si>
    <t>celular</t>
  </si>
  <si>
    <t>celularX</t>
  </si>
  <si>
    <t>telefono</t>
  </si>
  <si>
    <t>categoria</t>
  </si>
  <si>
    <t>cbu - cvu</t>
  </si>
  <si>
    <t>alias</t>
  </si>
  <si>
    <t>codigoPostal</t>
  </si>
  <si>
    <t>e-mail</t>
  </si>
  <si>
    <t>calificacion</t>
  </si>
  <si>
    <t>url</t>
  </si>
  <si>
    <t>referencia</t>
  </si>
  <si>
    <t>NAC.</t>
  </si>
  <si>
    <t>obcion</t>
  </si>
  <si>
    <t>SUBE</t>
  </si>
  <si>
    <t>contacto</t>
  </si>
  <si>
    <t>comunidad coto</t>
  </si>
  <si>
    <t>usuario</t>
  </si>
  <si>
    <t>pass</t>
  </si>
  <si>
    <t>correo</t>
  </si>
  <si>
    <t>CIFARELLI Ricardo Alberto</t>
  </si>
  <si>
    <t>PRIMERA JUNTA 10226</t>
  </si>
  <si>
    <t>4 506-1447</t>
  </si>
  <si>
    <t>FERNANDEZ Graciela</t>
  </si>
  <si>
    <t>11 5475-8846</t>
  </si>
  <si>
    <t>normaclara@hotmail.com</t>
  </si>
  <si>
    <t>PY</t>
  </si>
  <si>
    <t>BODE Henriquez</t>
  </si>
  <si>
    <t>Rio Negro 9422</t>
  </si>
  <si>
    <t>15 5131-5411</t>
  </si>
  <si>
    <t>alejando merenda</t>
  </si>
  <si>
    <t>MENCIA WALTER</t>
  </si>
  <si>
    <t>FLORIDA 2220</t>
  </si>
  <si>
    <t>15 30264852</t>
  </si>
  <si>
    <t>4 841-3645</t>
  </si>
  <si>
    <t>PODESTA</t>
  </si>
  <si>
    <t>SANCHEZ Alcira Mónica</t>
  </si>
  <si>
    <t>alcira40ypico@hotmail.com</t>
  </si>
  <si>
    <t>BUZIO Leonardo</t>
  </si>
  <si>
    <t>el parque 10017</t>
  </si>
  <si>
    <t>pablo podesta</t>
  </si>
  <si>
    <t>APARICIO Nestor Omar</t>
  </si>
  <si>
    <t>+54 9 11 5899-3076</t>
  </si>
  <si>
    <t>017031134 - 0000041980987</t>
  </si>
  <si>
    <t>PALETA.SALTO.ATUN</t>
  </si>
  <si>
    <t>GAUNA Ruben Arnaldo</t>
  </si>
  <si>
    <t>15 6473-2104</t>
  </si>
  <si>
    <t>BRAMA Macarela</t>
  </si>
  <si>
    <t>l.m.campos 5146</t>
  </si>
  <si>
    <t>15 31296726</t>
  </si>
  <si>
    <t>2 116-4113</t>
  </si>
  <si>
    <t>DOCENTE</t>
  </si>
  <si>
    <t>01400519 - 03515508236516</t>
  </si>
  <si>
    <t>PASQUALI Paola Mónica</t>
  </si>
  <si>
    <t>Palazzo Aviador 2595</t>
  </si>
  <si>
    <t>4 758-9776</t>
  </si>
  <si>
    <t>GAUNA Carlos Felipe</t>
  </si>
  <si>
    <t xml:space="preserve">ROCA 1904 2B </t>
  </si>
  <si>
    <t>7397 8889</t>
  </si>
  <si>
    <t>as</t>
  </si>
  <si>
    <t>01400519 - 03515508268478</t>
  </si>
  <si>
    <t>6061 2680 2352 0154</t>
  </si>
  <si>
    <t>6031 6709 1200 1722 263</t>
  </si>
  <si>
    <t>WIRZ Leticia Mabel</t>
  </si>
  <si>
    <t>Witcomts 2479</t>
  </si>
  <si>
    <t>54 11 6827-8117</t>
  </si>
  <si>
    <t>4 738-3943</t>
  </si>
  <si>
    <t>SILVA María de los Angeles</t>
  </si>
  <si>
    <t>Chaco 3300 block1 casa 10</t>
  </si>
  <si>
    <t>+ 54 9 11 6458-4764</t>
  </si>
  <si>
    <t>25900356 - 20343743430106</t>
  </si>
  <si>
    <t>AROMA.TENIS.MUSICA</t>
  </si>
  <si>
    <t>V.ALSINA</t>
  </si>
  <si>
    <t>TORTONI Liliana</t>
  </si>
  <si>
    <t>15 3197-1838</t>
  </si>
  <si>
    <t>PORRETTA Arturo</t>
  </si>
  <si>
    <t>4 713-3290</t>
  </si>
  <si>
    <t>imprenta</t>
  </si>
  <si>
    <t>CIFERELLI Claudio</t>
  </si>
  <si>
    <t>primera junta 10226</t>
  </si>
  <si>
    <t>15 4991-5094</t>
  </si>
  <si>
    <t>HERNÁNDEZ Mabel Patricia</t>
  </si>
  <si>
    <t>san martin 1944 4 r</t>
  </si>
  <si>
    <t>4 754-0895</t>
  </si>
  <si>
    <t>01401437 - 03506100683659</t>
  </si>
  <si>
    <t>MASTROBERTI Mónica Inés</t>
  </si>
  <si>
    <t>+54 9 11 3348 7258</t>
  </si>
  <si>
    <t>9 de julio 5976</t>
  </si>
  <si>
    <t>+54 9 11 5705-1900</t>
  </si>
  <si>
    <t>Li_07@live.com</t>
  </si>
  <si>
    <t>Las Camelias 6806</t>
  </si>
  <si>
    <t>+54 9 11 3814-5949</t>
  </si>
  <si>
    <t>Abogada</t>
  </si>
  <si>
    <t>259000422 - 0306587530159</t>
  </si>
  <si>
    <t>15 2021-7809</t>
  </si>
  <si>
    <t>011063943 - 0063901981701</t>
  </si>
  <si>
    <t>+54 9 11 3479-8927</t>
  </si>
  <si>
    <t>150001450 - 0006462258364</t>
  </si>
  <si>
    <t>CORDERO Analia Verónica</t>
  </si>
  <si>
    <t>017017804 - 0000030846760</t>
  </si>
  <si>
    <t>lidia bustos</t>
  </si>
  <si>
    <t>YBAÑEZ Martín Fernando</t>
  </si>
  <si>
    <t>VILLALBA Ramona Maria</t>
  </si>
  <si>
    <t>SBEGHEN Matias Nicolas</t>
  </si>
  <si>
    <t>FLORIDA 2325</t>
  </si>
  <si>
    <t>GAUNA Carla Sofía</t>
  </si>
  <si>
    <t>BAETCKER BENITEZ Johanna Leticia</t>
  </si>
  <si>
    <t>MANUEL BELGRANO</t>
  </si>
  <si>
    <t>XXXXXXXXXXXXXX</t>
  </si>
  <si>
    <t>GAUNA Felipe</t>
  </si>
  <si>
    <t>CEAMSE</t>
  </si>
  <si>
    <t>CALLE BENEDETTI S/N</t>
  </si>
  <si>
    <t>4 720-8289</t>
  </si>
  <si>
    <t>PARQUE</t>
  </si>
  <si>
    <t>GAUNA WISNERT Rubén Felix</t>
  </si>
  <si>
    <t>+54 9 11 4037-3736</t>
  </si>
  <si>
    <t>4 769-0420</t>
  </si>
  <si>
    <t>32200490 - 29003136610018</t>
  </si>
  <si>
    <t>rubengaunawisnert@gmail.com</t>
  </si>
  <si>
    <t>BENÍTEZ CUELLA Liliana Leticia</t>
  </si>
  <si>
    <t>+595 982 421567</t>
  </si>
  <si>
    <t>01400267 - 03509754659072</t>
  </si>
  <si>
    <t>liLetiBenitez@gmail.com</t>
  </si>
  <si>
    <t>6061 2681 9790 5934</t>
  </si>
  <si>
    <t>fexpress</t>
  </si>
  <si>
    <t>fexpress0H</t>
  </si>
  <si>
    <t>Aldo</t>
  </si>
  <si>
    <t>15 6866-5955</t>
  </si>
  <si>
    <t>CONTADOR</t>
  </si>
  <si>
    <t>ALFONSINA STORNI</t>
  </si>
  <si>
    <t>ALVAREZ, Susana</t>
  </si>
  <si>
    <t>ASCHAUER Florian</t>
  </si>
  <si>
    <t>4 739-8713</t>
  </si>
  <si>
    <t>BAPRO Carlos</t>
  </si>
  <si>
    <t>cavega@bpba.com.ar</t>
  </si>
  <si>
    <t>BOTTA Verónica</t>
  </si>
  <si>
    <t>pediatra</t>
  </si>
  <si>
    <t>CARRASCOSA América</t>
  </si>
  <si>
    <t>4 788-9270</t>
  </si>
  <si>
    <t>CLARO</t>
  </si>
  <si>
    <t>mauricio chillo</t>
  </si>
  <si>
    <t>54 15 5870-7978</t>
  </si>
  <si>
    <t>pagoMisCuentas</t>
  </si>
  <si>
    <t>LUCY</t>
  </si>
  <si>
    <t>54 15 4172-2181</t>
  </si>
  <si>
    <t>JUAN CARLOS</t>
  </si>
  <si>
    <t>54 113214-9621</t>
  </si>
  <si>
    <t>BABBINI JUDITH </t>
  </si>
  <si>
    <t>54 15 3472-9558</t>
  </si>
  <si>
    <t>trilli</t>
  </si>
  <si>
    <t>BISIGNIANO JAVIER</t>
  </si>
  <si>
    <t>54 15 5495-4798 </t>
  </si>
  <si>
    <t>SARDELLA HERNAN</t>
  </si>
  <si>
    <t>hernansardella@colegiosanandrich.com.ar</t>
  </si>
  <si>
    <t>eduardo cense 15 3678-1796</t>
  </si>
  <si>
    <t>CUELLO, Maximiliano</t>
  </si>
  <si>
    <t>CASA MARINO</t>
  </si>
  <si>
    <t>54 11 4759-5024</t>
  </si>
  <si>
    <t>JOSE LUIS</t>
  </si>
  <si>
    <t>CARRIZO, Martin</t>
  </si>
  <si>
    <t>GASISTA</t>
  </si>
  <si>
    <t>BRATINA Roberto</t>
  </si>
  <si>
    <t>4 844-9362</t>
  </si>
  <si>
    <t>BRATINA Adriana</t>
  </si>
  <si>
    <t>4 844-6961</t>
  </si>
  <si>
    <t>Dra. Pastura</t>
  </si>
  <si>
    <t>+54 9 11 3102-6206</t>
  </si>
  <si>
    <t>CIALDELLA Patricia</t>
  </si>
  <si>
    <t>01156217-1024</t>
  </si>
  <si>
    <t>CIFARELLI ADRIANA</t>
  </si>
  <si>
    <t>MERENDA Alejandro</t>
  </si>
  <si>
    <t>MONTIN Carlos</t>
  </si>
  <si>
    <t>15-6585-6546</t>
  </si>
  <si>
    <t>PENZO fernanda</t>
  </si>
  <si>
    <t>54 11 6879-9527</t>
  </si>
  <si>
    <t>Tia Beba</t>
  </si>
  <si>
    <t>4 769-0594</t>
  </si>
  <si>
    <t>PEDRO, Melis</t>
  </si>
  <si>
    <t>4 769-5190</t>
  </si>
  <si>
    <t>PEDRO, Chazarreta</t>
  </si>
  <si>
    <t>4 841-0479</t>
  </si>
  <si>
    <t>RUBINO RAUL</t>
  </si>
  <si>
    <t>BALBIN 2750</t>
  </si>
  <si>
    <t>15 6957-1588</t>
  </si>
  <si>
    <t>SUAREZ, Mariel</t>
  </si>
  <si>
    <t>VIDEO 8 mm</t>
  </si>
  <si>
    <t>4 849-0486</t>
  </si>
  <si>
    <t>VILLAGRA trifino</t>
  </si>
  <si>
    <t>54 11 6364-0911</t>
  </si>
  <si>
    <t>1558755351</t>
  </si>
  <si>
    <t>MARTINEZ ANDRES</t>
  </si>
  <si>
    <t>MONACO3140</t>
  </si>
  <si>
    <t>54 15 6678-3279</t>
  </si>
  <si>
    <t>4 722-0191</t>
  </si>
  <si>
    <t>MARCELA</t>
  </si>
  <si>
    <t>11 3399-1258</t>
  </si>
  <si>
    <t>54 15 3040-5026</t>
  </si>
  <si>
    <t>4 752-6044</t>
  </si>
  <si>
    <t>GUSTAVO/VIDAL SATRE ALE</t>
  </si>
  <si>
    <t>113 876-5468</t>
  </si>
  <si>
    <t>15 3419-5940</t>
  </si>
  <si>
    <t>4 754-2340</t>
  </si>
  <si>
    <t>JORGE GIBELLI</t>
  </si>
  <si>
    <t>4 755-****</t>
  </si>
  <si>
    <t>VERGARA jorge</t>
  </si>
  <si>
    <t>+54 9 11 6131-3934</t>
  </si>
  <si>
    <t>4 752-7385</t>
  </si>
  <si>
    <t>DIAZ Pablo</t>
  </si>
  <si>
    <t>15 3125-4508</t>
  </si>
  <si>
    <t>ESTUDIO 4 816-3088/3054</t>
  </si>
  <si>
    <t>Danylow juan</t>
  </si>
  <si>
    <t>French 2476</t>
  </si>
  <si>
    <t>4 753-2182</t>
  </si>
  <si>
    <t>4 841-0818</t>
  </si>
  <si>
    <t>Marita VALLES</t>
  </si>
  <si>
    <t>+54 9 11 6458-4764</t>
  </si>
  <si>
    <t>ITURRE adiran</t>
  </si>
  <si>
    <t>15 3428-1800</t>
  </si>
  <si>
    <t>4 764-4297</t>
  </si>
  <si>
    <t>ABOGADO</t>
  </si>
  <si>
    <t>KIRCHNER PATRICIA</t>
  </si>
  <si>
    <t>GUERRERO German</t>
  </si>
  <si>
    <t>11 4471-6832</t>
  </si>
  <si>
    <t>VALINOTTI JARA Luis Alberto</t>
  </si>
  <si>
    <t>CARDOZO GAUNA Tania Graciela</t>
  </si>
  <si>
    <t>Tío Atín</t>
  </si>
  <si>
    <t>00595 981 758575</t>
  </si>
  <si>
    <t>Tia Lilú</t>
  </si>
  <si>
    <t>00595 985 776440</t>
  </si>
  <si>
    <t>Rubén Dario IBÁÑEZ</t>
  </si>
  <si>
    <t>0994 820752</t>
  </si>
  <si>
    <t>Albeñilería</t>
  </si>
  <si>
    <t>COLEGIO PARROQUIAL J M ESTRADA</t>
  </si>
  <si>
    <t>0720085420000000681854</t>
  </si>
  <si>
    <t>PISTA.BASTO.GALGO</t>
  </si>
  <si>
    <t>cuotacolegioestrada@gmail.com</t>
  </si>
  <si>
    <t>RL  Mauricio Riviera</t>
  </si>
  <si>
    <t>BERRETIX13          JRkaratecas67</t>
  </si>
  <si>
    <t>Claro 0810-122-0333 - opcion 2</t>
  </si>
  <si>
    <t>BAPRO                       1717 - 0917</t>
  </si>
  <si>
    <t>FRANCES                           1718</t>
  </si>
  <si>
    <t>BIND                                   5345</t>
  </si>
  <si>
    <t>..</t>
  </si>
  <si>
    <t>felipe61                        53ceLU45</t>
  </si>
  <si>
    <t>17861425                     17171717</t>
  </si>
  <si>
    <t>fexpress                     fexpress17</t>
  </si>
  <si>
    <t>3764-039252-71001</t>
  </si>
  <si>
    <t>felipe17                         Felipe21</t>
  </si>
  <si>
    <t>BIND                          9329 9875</t>
  </si>
  <si>
    <t>pago mis cuentas     17CARFELsa</t>
  </si>
  <si>
    <t>carfelsa@hotamil.com</t>
  </si>
  <si>
    <t>WU 428165578 Argentina10 carfelsa</t>
  </si>
  <si>
    <t xml:space="preserve">carlosGaun@hotmail.com - </t>
  </si>
  <si>
    <t>carlos.gauna.505</t>
  </si>
  <si>
    <t>M P 9655 AMEX</t>
  </si>
  <si>
    <t>carfelsa@hotmail.com</t>
  </si>
  <si>
    <t>carFel17</t>
  </si>
  <si>
    <t xml:space="preserve">326 941 0806 </t>
  </si>
  <si>
    <t>carlosgaun@hotmail.com</t>
  </si>
  <si>
    <t>carlos65</t>
  </si>
  <si>
    <t>carlosGaun17</t>
  </si>
  <si>
    <t>326 941 0806</t>
  </si>
  <si>
    <t>7nqW2d</t>
  </si>
  <si>
    <t>carfelsa@hc</t>
  </si>
  <si>
    <t>Felcar_7</t>
  </si>
  <si>
    <t>MP</t>
  </si>
  <si>
    <t>adan.agente.borde.mp</t>
  </si>
  <si>
    <t>CARFEL17</t>
  </si>
  <si>
    <t>0000003100056092863645</t>
  </si>
  <si>
    <t>CBU</t>
  </si>
  <si>
    <t>CA Pesos</t>
  </si>
  <si>
    <t>01700169 - 40000006928049</t>
  </si>
  <si>
    <t>016 - 069280/4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</si>
</sst>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&quot;/&quot;mm&quot;/&quot;yyyy"/>
    <numFmt numFmtId="165" formatCode="0.000%"/>
    <numFmt numFmtId="166" formatCode="[$-F800]dddd\,\ mmmm\ dd\,\ yyyy"/>
    <numFmt numFmtId="167" formatCode="00000000"/>
    <numFmt numFmtId="168" formatCode="dd/mm/yyyy;@"/>
  </numFmts>
  <fonts count="97">
    <font>
      <sz val="10"/>
      <color rgb="FF000000"/>
      <name val="Arial"/>
    </font>
    <font>
      <sz val="10"/>
      <name val="Arial"/>
    </font>
    <font>
      <sz val="10"/>
      <name val="1226"/>
    </font>
    <font>
      <sz val="10"/>
      <color indexed="17"/>
      <name val="Arial"/>
    </font>
    <font>
      <sz val="10"/>
      <color indexed="8"/>
      <name val="Arial"/>
    </font>
    <font>
      <sz val="10"/>
      <color indexed="57"/>
      <name val="Arial"/>
    </font>
    <font>
      <sz val="10"/>
      <color indexed="10"/>
      <name val="Arial"/>
    </font>
    <font>
      <sz val="10"/>
      <color indexed="12"/>
      <name val="Arial"/>
    </font>
    <font>
      <sz val="12"/>
      <name val="Arial"/>
    </font>
    <font>
      <sz val="11"/>
      <name val="Calibri"/>
    </font>
    <font>
      <u/>
      <sz val="10"/>
      <color indexed="12"/>
      <name val="Arial"/>
    </font>
    <font>
      <u/>
      <sz val="10"/>
      <name val="Arial"/>
    </font>
    <font>
      <sz val="8"/>
      <color indexed="8"/>
      <name val="Quattrocento Sans"/>
    </font>
    <font>
      <sz val="12"/>
      <color indexed="63"/>
      <name val="Arial"/>
    </font>
    <font>
      <sz val="8"/>
      <color indexed="63"/>
      <name val="Quattrocento Sans"/>
    </font>
    <font>
      <sz val="11"/>
      <name val="Arial"/>
    </font>
    <font>
      <sz val="10"/>
      <color indexed="8"/>
      <name val="Quattrocento Sans"/>
    </font>
    <font>
      <sz val="12"/>
      <name val="Calibri"/>
    </font>
    <font>
      <sz val="8"/>
      <name val="Arial"/>
    </font>
    <font>
      <sz val="10"/>
      <color indexed="17"/>
      <name val="Arial"/>
    </font>
    <font>
      <sz val="10"/>
      <color indexed="30"/>
      <name val="Arial"/>
    </font>
    <font>
      <sz val="20"/>
      <color indexed="30"/>
      <name val="Arial"/>
    </font>
    <font>
      <sz val="10"/>
      <color indexed="57"/>
      <name val="Arial"/>
    </font>
    <font>
      <sz val="10"/>
      <color indexed="36"/>
      <name val="Arial"/>
    </font>
    <font>
      <sz val="10"/>
      <color indexed="57"/>
      <name val="Arial"/>
    </font>
    <font>
      <sz val="10"/>
      <color indexed="57"/>
      <name val="1226"/>
    </font>
    <font>
      <u/>
      <sz val="10"/>
      <color indexed="57"/>
      <name val="Arial"/>
    </font>
    <font>
      <sz val="12"/>
      <color indexed="57"/>
      <name val="Arial"/>
    </font>
    <font>
      <i/>
      <sz val="10"/>
      <color indexed="30"/>
      <name val="Arial"/>
    </font>
    <font>
      <i/>
      <u/>
      <sz val="10"/>
      <color indexed="30"/>
      <name val="Arial"/>
    </font>
    <font>
      <i/>
      <sz val="9"/>
      <color indexed="30"/>
      <name val="Arial"/>
    </font>
    <font>
      <u/>
      <sz val="10"/>
      <color indexed="30"/>
      <name val="Arial"/>
    </font>
    <font>
      <strike/>
      <sz val="10"/>
      <name val="Arial"/>
    </font>
    <font>
      <sz val="10"/>
      <color indexed="49"/>
      <name val="Arial"/>
    </font>
    <font>
      <sz val="10"/>
      <color indexed="60"/>
      <name val="Arial"/>
    </font>
    <font>
      <u/>
      <sz val="10"/>
      <color theme="10"/>
      <name val="Arial"/>
    </font>
    <font>
      <strike/>
      <sz val="10"/>
      <color rgb="FF000000"/>
      <name val="Arial"/>
    </font>
    <font>
      <sz val="10"/>
      <color rgb="FF1F4E78"/>
      <name val="Arial"/>
    </font>
    <font>
      <sz val="10"/>
      <color rgb="FF002060"/>
      <name val="Arial"/>
    </font>
    <font>
      <sz val="20"/>
      <color rgb="FF7030A0"/>
      <name val="Arial"/>
    </font>
    <font>
      <sz val="10"/>
      <color rgb="FF7030A0"/>
      <name val="Arial"/>
    </font>
    <font>
      <sz val="20"/>
      <color rgb="FF000000"/>
      <name val="Arial"/>
    </font>
    <font>
      <i/>
      <sz val="10"/>
      <color rgb="FF000000"/>
      <name val="Arial"/>
    </font>
    <font>
      <u/>
      <sz val="10"/>
      <color rgb="FF000000"/>
      <name val="Arial"/>
    </font>
    <font>
      <sz val="20"/>
      <color rgb="FF375623"/>
      <name val="Arial"/>
    </font>
    <font>
      <sz val="10"/>
      <color rgb="FF375623"/>
      <name val="Arial"/>
    </font>
    <font>
      <strike/>
      <sz val="10"/>
      <color rgb="FF375623"/>
      <name val="Arial"/>
    </font>
    <font>
      <u/>
      <sz val="10"/>
      <color rgb="FF375623"/>
      <name val="Arial"/>
    </font>
    <font>
      <i/>
      <sz val="10"/>
      <color rgb="FF375623"/>
      <name val="Arial"/>
    </font>
    <font>
      <sz val="9"/>
      <color rgb="FF375623"/>
      <name val="Arial"/>
    </font>
    <font>
      <sz val="10"/>
      <color rgb="FFFF0000"/>
      <name val="Arial"/>
    </font>
    <font>
      <strike/>
      <sz val="10"/>
      <color rgb="FFFF0000"/>
      <name val="Arial"/>
    </font>
    <font>
      <sz val="10"/>
      <color rgb="FF4472C4"/>
      <name val="Arial"/>
    </font>
    <font>
      <sz val="10"/>
      <color rgb="FFFFFFFF"/>
      <name val="Arial"/>
    </font>
    <font>
      <sz val="12"/>
      <color rgb="FF000000"/>
      <name val="Arial"/>
    </font>
    <font>
      <strike/>
      <sz val="12"/>
      <color indexed="9"/>
      <name val="Arial"/>
    </font>
    <font>
      <strike/>
      <sz val="12"/>
      <name val="Arial"/>
    </font>
    <font>
      <sz val="12"/>
      <color indexed="9"/>
      <name val="Arial"/>
    </font>
    <font>
      <strike/>
      <sz val="12"/>
      <color rgb="FF000000"/>
      <name val="Arial"/>
    </font>
    <font>
      <sz val="12"/>
      <color indexed="12"/>
      <name val="Arial"/>
    </font>
    <font>
      <strike/>
      <sz val="12"/>
      <color indexed="12"/>
      <name val="Arial"/>
    </font>
    <font>
      <sz val="12"/>
      <color rgb="FFFF0000"/>
      <name val="Arial"/>
    </font>
    <font>
      <i/>
      <strike/>
      <sz val="10"/>
      <color rgb="FF000000"/>
      <name val="Arial"/>
    </font>
    <font>
      <b/>
      <sz val="10"/>
      <color rgb="FFFF0000"/>
      <name val="Arial"/>
    </font>
    <font>
      <b/>
      <sz val="12"/>
      <color rgb="FF000000"/>
      <name val="Arial"/>
    </font>
    <font>
      <b/>
      <sz val="10"/>
      <color rgb="FF00B050"/>
      <name val="Arial"/>
    </font>
    <font>
      <b/>
      <sz val="10"/>
      <color rgb="FF000000"/>
      <name val="Arial"/>
    </font>
    <font>
      <b/>
      <sz val="12"/>
      <color rgb="FF4472C4"/>
      <name val="Arial"/>
    </font>
    <font>
      <sz val="12"/>
      <color rgb="FF4472C4"/>
      <name val="Arial"/>
    </font>
    <font>
      <b/>
      <sz val="10"/>
      <color rgb="FF4472C4"/>
      <name val="Arial"/>
    </font>
    <font>
      <b/>
      <sz val="12"/>
      <color rgb="FF000000"/>
      <name val="Arial Black"/>
    </font>
    <font>
      <sz val="10"/>
      <color rgb="FF000000"/>
      <name val="Arial Black"/>
    </font>
    <font>
      <b/>
      <sz val="12"/>
      <color rgb="FF2F75B5"/>
      <name val="Arial"/>
    </font>
    <font>
      <sz val="8"/>
      <color rgb="FF000000"/>
      <name val="Arial"/>
    </font>
    <font>
      <sz val="8"/>
      <color rgb="FF000000"/>
      <name val="Arial Black"/>
    </font>
    <font>
      <sz val="8"/>
      <color rgb="FFFF0000"/>
      <name val="Arial Black"/>
    </font>
    <font>
      <b/>
      <sz val="8"/>
      <color rgb="FF000000"/>
      <name val="Arial Black"/>
    </font>
    <font>
      <sz val="10"/>
      <color rgb="FF548235"/>
      <name val="Arial Black"/>
    </font>
    <font>
      <b/>
      <sz val="10"/>
      <color rgb="FFFFFFFF"/>
      <name val="Arial"/>
    </font>
    <font>
      <b/>
      <sz val="10"/>
      <color rgb="FF000000"/>
      <name val="Arial Black"/>
    </font>
    <font>
      <sz val="14"/>
      <color rgb="FF565A5C"/>
      <name val="Helvetica Neue"/>
      <charset val="1"/>
    </font>
    <font>
      <sz val="10"/>
      <color rgb="FFFFFFFF"/>
      <name val="Arial Black"/>
    </font>
    <font>
      <sz val="10"/>
      <color rgb="FF00B050"/>
      <name val="Arial"/>
    </font>
    <font>
      <sz val="10"/>
      <color rgb="FF00B050"/>
      <name val="Arial Black"/>
    </font>
    <font>
      <b/>
      <sz val="10"/>
      <color rgb="FF7030A0"/>
      <name val="Arial"/>
    </font>
    <font>
      <sz val="10"/>
      <color rgb="FF2F75B5"/>
      <name val="Arial"/>
    </font>
    <font>
      <sz val="10"/>
      <color rgb="FF2F75B5"/>
      <name val="Arial Black"/>
    </font>
    <font>
      <sz val="10"/>
      <color rgb="FF4472C4"/>
      <name val="Arial Black"/>
    </font>
    <font>
      <strike/>
      <sz val="10"/>
      <color rgb="FF7030A0"/>
      <name val="Arial"/>
    </font>
    <font>
      <sz val="10"/>
      <color rgb="FFFF0000"/>
      <name val="Arial Black"/>
    </font>
    <font>
      <sz val="10"/>
      <color rgb="FF0070C0"/>
      <name val="Arial"/>
    </font>
    <font>
      <b/>
      <sz val="10"/>
      <color rgb="FF0070C0"/>
      <name val="Arial"/>
    </font>
    <font>
      <sz val="12"/>
      <color rgb="FFFFFFFF"/>
      <name val="Arial"/>
    </font>
    <font>
      <strike/>
      <sz val="12"/>
      <color rgb="FFFFFFFF"/>
      <name val="Arial"/>
    </font>
    <font>
      <b/>
      <sz val="10"/>
      <color rgb="FF70AD47"/>
      <name val="Arial Black"/>
    </font>
    <font>
      <b/>
      <sz val="10"/>
      <color rgb="FF70AD47"/>
      <name val="Arial"/>
    </font>
    <font>
      <sz val="12"/>
      <color rgb="FF000000"/>
      <name val="Arial Black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0"/>
        <bgColor indexed="50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000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984">
    <xf numFmtId="0" fontId="0" fillId="0" borderId="0" xfId="0"/>
    <xf numFmtId="2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2" fontId="0" fillId="0" borderId="0" xfId="0" applyNumberFormat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4" fontId="1" fillId="0" borderId="0" xfId="0" applyNumberFormat="1" applyFont="1"/>
    <xf numFmtId="0" fontId="1" fillId="0" borderId="0" xfId="0" applyFont="1"/>
    <xf numFmtId="0" fontId="3" fillId="0" borderId="0" xfId="0" applyFont="1"/>
    <xf numFmtId="165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2" fontId="7" fillId="0" borderId="0" xfId="0" applyNumberFormat="1" applyFont="1"/>
    <xf numFmtId="3" fontId="1" fillId="0" borderId="1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167" fontId="4" fillId="2" borderId="0" xfId="0" applyNumberFormat="1" applyFont="1" applyFill="1"/>
    <xf numFmtId="167" fontId="1" fillId="0" borderId="0" xfId="0" applyNumberFormat="1" applyFont="1"/>
    <xf numFmtId="0" fontId="12" fillId="0" borderId="0" xfId="0" applyFont="1"/>
    <xf numFmtId="14" fontId="1" fillId="0" borderId="0" xfId="0" applyNumberFormat="1" applyFont="1"/>
    <xf numFmtId="167" fontId="1" fillId="0" borderId="0" xfId="0" applyNumberFormat="1" applyFont="1" applyAlignment="1">
      <alignment horizontal="center"/>
    </xf>
    <xf numFmtId="1" fontId="1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9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164" fontId="1" fillId="0" borderId="1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1" fillId="0" borderId="7" xfId="0" applyFont="1" applyBorder="1"/>
    <xf numFmtId="4" fontId="1" fillId="0" borderId="7" xfId="0" applyNumberFormat="1" applyFont="1" applyBorder="1"/>
    <xf numFmtId="0" fontId="1" fillId="0" borderId="3" xfId="0" applyFont="1" applyBorder="1" applyAlignment="1">
      <alignment horizontal="center"/>
    </xf>
    <xf numFmtId="4" fontId="11" fillId="0" borderId="1" xfId="0" applyNumberFormat="1" applyFont="1" applyBorder="1"/>
    <xf numFmtId="0" fontId="10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0" fillId="0" borderId="0" xfId="0" quotePrefix="1"/>
    <xf numFmtId="0" fontId="7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2" fontId="20" fillId="0" borderId="16" xfId="0" applyNumberFormat="1" applyFont="1" applyBorder="1" applyAlignment="1">
      <alignment horizontal="right"/>
    </xf>
    <xf numFmtId="0" fontId="20" fillId="0" borderId="16" xfId="0" applyFont="1" applyBorder="1"/>
    <xf numFmtId="4" fontId="20" fillId="0" borderId="16" xfId="0" applyNumberFormat="1" applyFont="1" applyBorder="1"/>
    <xf numFmtId="2" fontId="20" fillId="0" borderId="16" xfId="0" applyNumberFormat="1" applyFont="1" applyBorder="1"/>
    <xf numFmtId="2" fontId="6" fillId="0" borderId="16" xfId="0" applyNumberFormat="1" applyFont="1" applyBorder="1"/>
    <xf numFmtId="0" fontId="6" fillId="0" borderId="16" xfId="0" applyFont="1" applyBorder="1" applyAlignment="1">
      <alignment horizontal="center"/>
    </xf>
    <xf numFmtId="2" fontId="6" fillId="0" borderId="16" xfId="0" applyNumberFormat="1" applyFont="1" applyBorder="1" applyAlignment="1">
      <alignment horizontal="right"/>
    </xf>
    <xf numFmtId="4" fontId="6" fillId="0" borderId="16" xfId="0" applyNumberFormat="1" applyFont="1" applyBorder="1"/>
    <xf numFmtId="0" fontId="20" fillId="0" borderId="0" xfId="0" applyFont="1"/>
    <xf numFmtId="0" fontId="20" fillId="0" borderId="14" xfId="0" applyFont="1" applyBorder="1"/>
    <xf numFmtId="0" fontId="6" fillId="0" borderId="16" xfId="0" applyFont="1" applyBorder="1"/>
    <xf numFmtId="0" fontId="0" fillId="0" borderId="16" xfId="0" applyBorder="1" applyAlignment="1">
      <alignment horizontal="center" vertical="center"/>
    </xf>
    <xf numFmtId="0" fontId="22" fillId="0" borderId="0" xfId="0" applyFont="1"/>
    <xf numFmtId="166" fontId="6" fillId="0" borderId="16" xfId="0" applyNumberFormat="1" applyFont="1" applyBorder="1" applyAlignment="1">
      <alignment horizontal="center"/>
    </xf>
    <xf numFmtId="166" fontId="6" fillId="0" borderId="16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/>
    </xf>
    <xf numFmtId="4" fontId="6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left" vertical="center"/>
    </xf>
    <xf numFmtId="0" fontId="35" fillId="0" borderId="0" xfId="1"/>
    <xf numFmtId="168" fontId="0" fillId="0" borderId="0" xfId="0" applyNumberFormat="1"/>
    <xf numFmtId="0" fontId="23" fillId="0" borderId="0" xfId="0" applyFont="1"/>
    <xf numFmtId="1" fontId="6" fillId="0" borderId="16" xfId="0" applyNumberFormat="1" applyFont="1" applyBorder="1"/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" fontId="0" fillId="0" borderId="1" xfId="0" applyNumberFormat="1" applyBorder="1"/>
    <xf numFmtId="2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quotePrefix="1" applyBorder="1" applyAlignment="1">
      <alignment horizontal="center"/>
    </xf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24" fillId="0" borderId="0" xfId="0" applyFont="1"/>
    <xf numFmtId="0" fontId="25" fillId="0" borderId="1" xfId="0" applyFont="1" applyBorder="1"/>
    <xf numFmtId="4" fontId="26" fillId="0" borderId="1" xfId="0" applyNumberFormat="1" applyFont="1" applyBorder="1"/>
    <xf numFmtId="168" fontId="1" fillId="0" borderId="1" xfId="0" applyNumberFormat="1" applyFont="1" applyBorder="1"/>
    <xf numFmtId="168" fontId="1" fillId="0" borderId="0" xfId="0" applyNumberFormat="1" applyFont="1"/>
    <xf numFmtId="2" fontId="1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" fontId="11" fillId="0" borderId="1" xfId="0" applyNumberFormat="1" applyFont="1" applyBorder="1" applyAlignment="1">
      <alignment horizontal="center" vertical="center"/>
    </xf>
    <xf numFmtId="2" fontId="20" fillId="0" borderId="19" xfId="0" applyNumberFormat="1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6" xfId="0" applyFont="1" applyBorder="1" applyAlignment="1">
      <alignment horizontal="left"/>
    </xf>
    <xf numFmtId="2" fontId="28" fillId="0" borderId="16" xfId="0" applyNumberFormat="1" applyFont="1" applyBorder="1" applyAlignment="1">
      <alignment horizontal="right"/>
    </xf>
    <xf numFmtId="4" fontId="28" fillId="0" borderId="16" xfId="0" applyNumberFormat="1" applyFont="1" applyBorder="1" applyAlignment="1">
      <alignment horizontal="right"/>
    </xf>
    <xf numFmtId="4" fontId="20" fillId="0" borderId="16" xfId="0" applyNumberFormat="1" applyFont="1" applyBorder="1" applyAlignment="1">
      <alignment horizontal="right"/>
    </xf>
    <xf numFmtId="0" fontId="20" fillId="4" borderId="16" xfId="0" applyFont="1" applyFill="1" applyBorder="1" applyAlignment="1">
      <alignment horizontal="center"/>
    </xf>
    <xf numFmtId="0" fontId="20" fillId="4" borderId="16" xfId="0" applyFont="1" applyFill="1" applyBorder="1" applyAlignment="1">
      <alignment horizontal="left"/>
    </xf>
    <xf numFmtId="4" fontId="20" fillId="4" borderId="16" xfId="0" applyNumberFormat="1" applyFont="1" applyFill="1" applyBorder="1"/>
    <xf numFmtId="2" fontId="28" fillId="4" borderId="16" xfId="0" applyNumberFormat="1" applyFont="1" applyFill="1" applyBorder="1" applyAlignment="1">
      <alignment horizontal="right"/>
    </xf>
    <xf numFmtId="4" fontId="28" fillId="4" borderId="16" xfId="0" applyNumberFormat="1" applyFont="1" applyFill="1" applyBorder="1" applyAlignment="1">
      <alignment horizontal="right"/>
    </xf>
    <xf numFmtId="4" fontId="20" fillId="4" borderId="16" xfId="0" applyNumberFormat="1" applyFont="1" applyFill="1" applyBorder="1" applyAlignment="1">
      <alignment horizontal="right"/>
    </xf>
    <xf numFmtId="2" fontId="29" fillId="0" borderId="16" xfId="0" applyNumberFormat="1" applyFont="1" applyBorder="1" applyAlignment="1">
      <alignment horizontal="right"/>
    </xf>
    <xf numFmtId="4" fontId="29" fillId="0" borderId="16" xfId="0" applyNumberFormat="1" applyFont="1" applyBorder="1" applyAlignment="1">
      <alignment horizontal="right"/>
    </xf>
    <xf numFmtId="4" fontId="20" fillId="0" borderId="19" xfId="0" applyNumberFormat="1" applyFont="1" applyBorder="1"/>
    <xf numFmtId="2" fontId="28" fillId="0" borderId="19" xfId="0" applyNumberFormat="1" applyFont="1" applyBorder="1" applyAlignment="1">
      <alignment horizontal="right"/>
    </xf>
    <xf numFmtId="4" fontId="28" fillId="0" borderId="19" xfId="0" applyNumberFormat="1" applyFont="1" applyBorder="1" applyAlignment="1">
      <alignment horizontal="right"/>
    </xf>
    <xf numFmtId="0" fontId="20" fillId="0" borderId="19" xfId="0" applyFont="1" applyBorder="1" applyAlignment="1">
      <alignment horizontal="left"/>
    </xf>
    <xf numFmtId="4" fontId="20" fillId="0" borderId="19" xfId="0" applyNumberFormat="1" applyFont="1" applyBorder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4" fontId="20" fillId="0" borderId="0" xfId="0" applyNumberFormat="1" applyFont="1"/>
    <xf numFmtId="2" fontId="28" fillId="0" borderId="15" xfId="0" applyNumberFormat="1" applyFont="1" applyBorder="1" applyAlignment="1">
      <alignment horizontal="right"/>
    </xf>
    <xf numFmtId="4" fontId="28" fillId="0" borderId="15" xfId="0" applyNumberFormat="1" applyFont="1" applyBorder="1" applyAlignment="1">
      <alignment horizontal="right"/>
    </xf>
    <xf numFmtId="4" fontId="20" fillId="0" borderId="15" xfId="0" applyNumberFormat="1" applyFont="1" applyBorder="1"/>
    <xf numFmtId="4" fontId="20" fillId="0" borderId="15" xfId="0" applyNumberFormat="1" applyFont="1" applyBorder="1" applyAlignment="1">
      <alignment horizontal="right"/>
    </xf>
    <xf numFmtId="4" fontId="20" fillId="0" borderId="0" xfId="0" applyNumberFormat="1" applyFont="1" applyAlignment="1">
      <alignment horizontal="right"/>
    </xf>
    <xf numFmtId="0" fontId="28" fillId="0" borderId="0" xfId="0" applyFont="1"/>
    <xf numFmtId="0" fontId="20" fillId="0" borderId="14" xfId="0" applyFont="1" applyBorder="1" applyAlignment="1">
      <alignment horizontal="left"/>
    </xf>
    <xf numFmtId="4" fontId="20" fillId="0" borderId="14" xfId="0" applyNumberFormat="1" applyFont="1" applyBorder="1"/>
    <xf numFmtId="2" fontId="28" fillId="0" borderId="14" xfId="0" applyNumberFormat="1" applyFont="1" applyBorder="1" applyAlignment="1">
      <alignment horizontal="right"/>
    </xf>
    <xf numFmtId="4" fontId="28" fillId="0" borderId="14" xfId="0" applyNumberFormat="1" applyFont="1" applyBorder="1" applyAlignment="1">
      <alignment horizontal="right"/>
    </xf>
    <xf numFmtId="4" fontId="20" fillId="0" borderId="14" xfId="0" applyNumberFormat="1" applyFont="1" applyBorder="1" applyAlignment="1">
      <alignment horizontal="right"/>
    </xf>
    <xf numFmtId="0" fontId="20" fillId="0" borderId="16" xfId="0" quotePrefix="1" applyFont="1" applyBorder="1" applyAlignment="1">
      <alignment horizontal="center"/>
    </xf>
    <xf numFmtId="2" fontId="28" fillId="0" borderId="16" xfId="0" applyNumberFormat="1" applyFont="1" applyBorder="1" applyAlignment="1">
      <alignment horizontal="right" vertical="center"/>
    </xf>
    <xf numFmtId="2" fontId="20" fillId="0" borderId="16" xfId="0" applyNumberFormat="1" applyFont="1" applyBorder="1" applyAlignment="1">
      <alignment horizontal="right" vertical="center"/>
    </xf>
    <xf numFmtId="0" fontId="20" fillId="0" borderId="19" xfId="0" applyFont="1" applyBorder="1" applyAlignment="1">
      <alignment horizontal="left" vertical="center"/>
    </xf>
    <xf numFmtId="2" fontId="28" fillId="0" borderId="19" xfId="0" applyNumberFormat="1" applyFont="1" applyBorder="1" applyAlignment="1">
      <alignment horizontal="right" vertical="center"/>
    </xf>
    <xf numFmtId="2" fontId="20" fillId="0" borderId="19" xfId="0" applyNumberFormat="1" applyFont="1" applyBorder="1" applyAlignment="1">
      <alignment horizontal="right"/>
    </xf>
    <xf numFmtId="2" fontId="20" fillId="0" borderId="19" xfId="0" applyNumberFormat="1" applyFont="1" applyBorder="1" applyAlignment="1">
      <alignment horizontal="right" vertical="center"/>
    </xf>
    <xf numFmtId="0" fontId="20" fillId="0" borderId="19" xfId="0" quotePrefix="1" applyFont="1" applyBorder="1" applyAlignment="1">
      <alignment horizontal="center"/>
    </xf>
    <xf numFmtId="0" fontId="20" fillId="0" borderId="19" xfId="0" applyFont="1" applyBorder="1" applyAlignment="1">
      <alignment horizontal="right" vertical="center"/>
    </xf>
    <xf numFmtId="2" fontId="20" fillId="0" borderId="11" xfId="0" applyNumberFormat="1" applyFont="1" applyBorder="1" applyAlignment="1">
      <alignment horizontal="center"/>
    </xf>
    <xf numFmtId="0" fontId="20" fillId="2" borderId="16" xfId="0" applyFont="1" applyFill="1" applyBorder="1"/>
    <xf numFmtId="4" fontId="28" fillId="2" borderId="16" xfId="0" applyNumberFormat="1" applyFont="1" applyFill="1" applyBorder="1" applyAlignment="1">
      <alignment horizontal="right"/>
    </xf>
    <xf numFmtId="2" fontId="28" fillId="2" borderId="16" xfId="0" applyNumberFormat="1" applyFont="1" applyFill="1" applyBorder="1" applyAlignment="1">
      <alignment horizontal="right"/>
    </xf>
    <xf numFmtId="4" fontId="30" fillId="0" borderId="16" xfId="0" applyNumberFormat="1" applyFont="1" applyBorder="1"/>
    <xf numFmtId="4" fontId="28" fillId="0" borderId="16" xfId="0" applyNumberFormat="1" applyFont="1" applyBorder="1"/>
    <xf numFmtId="2" fontId="20" fillId="2" borderId="16" xfId="0" applyNumberFormat="1" applyFont="1" applyFill="1" applyBorder="1" applyAlignment="1">
      <alignment horizontal="right"/>
    </xf>
    <xf numFmtId="4" fontId="20" fillId="0" borderId="12" xfId="0" applyNumberFormat="1" applyFont="1" applyBorder="1"/>
    <xf numFmtId="2" fontId="20" fillId="2" borderId="12" xfId="0" applyNumberFormat="1" applyFont="1" applyFill="1" applyBorder="1" applyAlignment="1">
      <alignment horizontal="right"/>
    </xf>
    <xf numFmtId="2" fontId="20" fillId="0" borderId="12" xfId="0" applyNumberFormat="1" applyFont="1" applyBorder="1" applyAlignment="1">
      <alignment horizontal="right"/>
    </xf>
    <xf numFmtId="4" fontId="20" fillId="0" borderId="12" xfId="0" applyNumberFormat="1" applyFont="1" applyBorder="1" applyAlignment="1">
      <alignment horizontal="right"/>
    </xf>
    <xf numFmtId="4" fontId="20" fillId="0" borderId="13" xfId="0" applyNumberFormat="1" applyFont="1" applyBorder="1" applyAlignment="1">
      <alignment horizontal="right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4" fontId="20" fillId="0" borderId="1" xfId="0" applyNumberFormat="1" applyFont="1" applyBorder="1"/>
    <xf numFmtId="2" fontId="20" fillId="0" borderId="1" xfId="0" applyNumberFormat="1" applyFont="1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8" fillId="0" borderId="1" xfId="0" applyNumberFormat="1" applyFont="1" applyBorder="1" applyAlignment="1">
      <alignment horizontal="right"/>
    </xf>
    <xf numFmtId="0" fontId="20" fillId="0" borderId="1" xfId="0" quotePrefix="1" applyFont="1" applyBorder="1" applyAlignment="1">
      <alignment horizontal="center"/>
    </xf>
    <xf numFmtId="2" fontId="20" fillId="0" borderId="1" xfId="0" applyNumberFormat="1" applyFont="1" applyBorder="1" applyAlignment="1">
      <alignment horizontal="right" vertical="center"/>
    </xf>
    <xf numFmtId="2" fontId="28" fillId="0" borderId="1" xfId="0" applyNumberFormat="1" applyFont="1" applyBorder="1" applyAlignment="1">
      <alignment horizontal="right" vertical="center"/>
    </xf>
    <xf numFmtId="0" fontId="20" fillId="0" borderId="18" xfId="0" quotePrefix="1" applyFont="1" applyBorder="1" applyAlignment="1">
      <alignment horizontal="center"/>
    </xf>
    <xf numFmtId="2" fontId="20" fillId="0" borderId="0" xfId="0" applyNumberFormat="1" applyFont="1" applyAlignment="1">
      <alignment horizontal="right" vertical="center"/>
    </xf>
    <xf numFmtId="0" fontId="20" fillId="0" borderId="22" xfId="0" applyFont="1" applyBorder="1" applyAlignment="1">
      <alignment horizontal="center" vertical="center"/>
    </xf>
    <xf numFmtId="0" fontId="20" fillId="0" borderId="22" xfId="0" applyFont="1" applyBorder="1"/>
    <xf numFmtId="0" fontId="20" fillId="0" borderId="12" xfId="0" applyFont="1" applyBorder="1"/>
    <xf numFmtId="0" fontId="20" fillId="0" borderId="17" xfId="0" quotePrefix="1" applyFont="1" applyBorder="1" applyAlignment="1">
      <alignment horizontal="center"/>
    </xf>
    <xf numFmtId="0" fontId="20" fillId="0" borderId="14" xfId="0" quotePrefix="1" applyFont="1" applyBorder="1" applyAlignment="1">
      <alignment horizontal="center"/>
    </xf>
    <xf numFmtId="0" fontId="20" fillId="0" borderId="15" xfId="0" applyFont="1" applyBorder="1"/>
    <xf numFmtId="2" fontId="20" fillId="0" borderId="15" xfId="0" applyNumberFormat="1" applyFont="1" applyBorder="1" applyAlignment="1">
      <alignment horizontal="right"/>
    </xf>
    <xf numFmtId="2" fontId="31" fillId="0" borderId="15" xfId="0" applyNumberFormat="1" applyFont="1" applyBorder="1" applyAlignment="1">
      <alignment horizontal="right" vertical="center"/>
    </xf>
    <xf numFmtId="2" fontId="20" fillId="0" borderId="14" xfId="0" applyNumberFormat="1" applyFont="1" applyBorder="1" applyAlignment="1">
      <alignment horizontal="right"/>
    </xf>
    <xf numFmtId="2" fontId="31" fillId="0" borderId="14" xfId="0" applyNumberFormat="1" applyFont="1" applyBorder="1" applyAlignment="1">
      <alignment horizontal="right" vertical="center"/>
    </xf>
    <xf numFmtId="2" fontId="31" fillId="0" borderId="16" xfId="0" applyNumberFormat="1" applyFont="1" applyBorder="1" applyAlignment="1">
      <alignment horizontal="right" vertical="center"/>
    </xf>
    <xf numFmtId="0" fontId="20" fillId="0" borderId="16" xfId="0" applyFont="1" applyBorder="1" applyAlignment="1">
      <alignment horizontal="left" vertical="center"/>
    </xf>
    <xf numFmtId="2" fontId="20" fillId="0" borderId="0" xfId="0" applyNumberFormat="1" applyFont="1" applyAlignment="1">
      <alignment horizontal="right"/>
    </xf>
    <xf numFmtId="2" fontId="31" fillId="0" borderId="0" xfId="0" applyNumberFormat="1" applyFont="1" applyAlignment="1">
      <alignment horizontal="right" vertic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quotePrefix="1" applyBorder="1" applyAlignment="1">
      <alignment horizontal="center"/>
    </xf>
    <xf numFmtId="2" fontId="0" fillId="0" borderId="7" xfId="0" applyNumberFormat="1" applyBorder="1" applyAlignment="1">
      <alignment horizontal="right" vertical="center"/>
    </xf>
    <xf numFmtId="0" fontId="0" fillId="0" borderId="7" xfId="0" applyBorder="1"/>
    <xf numFmtId="0" fontId="0" fillId="2" borderId="1" xfId="0" applyFill="1" applyBorder="1"/>
    <xf numFmtId="0" fontId="1" fillId="0" borderId="0" xfId="0" quotePrefix="1" applyFont="1"/>
    <xf numFmtId="0" fontId="0" fillId="0" borderId="2" xfId="0" applyBorder="1" applyAlignment="1">
      <alignment horizontal="left"/>
    </xf>
    <xf numFmtId="4" fontId="0" fillId="0" borderId="0" xfId="0" quotePrefix="1" applyNumberFormat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4" fontId="32" fillId="0" borderId="1" xfId="0" applyNumberFormat="1" applyFont="1" applyBorder="1" applyAlignment="1">
      <alignment horizontal="center"/>
    </xf>
    <xf numFmtId="2" fontId="0" fillId="0" borderId="1" xfId="0" applyNumberFormat="1" applyBorder="1"/>
    <xf numFmtId="0" fontId="19" fillId="0" borderId="0" xfId="0" applyFont="1"/>
    <xf numFmtId="0" fontId="33" fillId="0" borderId="0" xfId="0" applyFont="1"/>
    <xf numFmtId="2" fontId="0" fillId="0" borderId="7" xfId="0" applyNumberFormat="1" applyBorder="1" applyAlignment="1">
      <alignment horizontal="right"/>
    </xf>
    <xf numFmtId="2" fontId="0" fillId="0" borderId="7" xfId="0" applyNumberFormat="1" applyBorder="1"/>
    <xf numFmtId="9" fontId="0" fillId="0" borderId="0" xfId="0" applyNumberFormat="1"/>
    <xf numFmtId="9" fontId="0" fillId="0" borderId="0" xfId="0" applyNumberFormat="1" applyAlignment="1">
      <alignment horizontal="center"/>
    </xf>
    <xf numFmtId="0" fontId="34" fillId="0" borderId="0" xfId="0" applyFont="1"/>
    <xf numFmtId="2" fontId="0" fillId="0" borderId="1" xfId="0" quotePrefix="1" applyNumberFormat="1" applyBorder="1" applyAlignment="1">
      <alignment horizontal="center" vertical="center"/>
    </xf>
    <xf numFmtId="4" fontId="6" fillId="0" borderId="14" xfId="0" applyNumberFormat="1" applyFont="1" applyBorder="1"/>
    <xf numFmtId="0" fontId="5" fillId="0" borderId="0" xfId="0" applyFont="1" applyAlignment="1">
      <alignment horizontal="center"/>
    </xf>
    <xf numFmtId="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7" xfId="0" applyFont="1" applyBorder="1"/>
    <xf numFmtId="4" fontId="5" fillId="0" borderId="7" xfId="0" applyNumberFormat="1" applyFont="1" applyBorder="1"/>
    <xf numFmtId="49" fontId="5" fillId="0" borderId="1" xfId="0" applyNumberFormat="1" applyFont="1" applyBorder="1" applyAlignment="1">
      <alignment horizontal="center"/>
    </xf>
    <xf numFmtId="168" fontId="5" fillId="0" borderId="1" xfId="0" applyNumberFormat="1" applyFont="1" applyBorder="1"/>
    <xf numFmtId="2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2" fontId="36" fillId="0" borderId="7" xfId="0" applyNumberFormat="1" applyFont="1" applyBorder="1" applyAlignment="1">
      <alignment horizontal="right"/>
    </xf>
    <xf numFmtId="2" fontId="36" fillId="0" borderId="1" xfId="0" applyNumberFormat="1" applyFont="1" applyBorder="1" applyAlignment="1">
      <alignment horizontal="right"/>
    </xf>
    <xf numFmtId="2" fontId="36" fillId="0" borderId="1" xfId="0" applyNumberFormat="1" applyFont="1" applyBorder="1" applyAlignment="1">
      <alignment horizontal="right" vertical="center"/>
    </xf>
    <xf numFmtId="4" fontId="36" fillId="0" borderId="1" xfId="0" applyNumberFormat="1" applyFont="1" applyBorder="1" applyAlignment="1">
      <alignment horizontal="right"/>
    </xf>
    <xf numFmtId="0" fontId="37" fillId="0" borderId="0" xfId="0" applyFont="1"/>
    <xf numFmtId="0" fontId="37" fillId="9" borderId="0" xfId="0" applyFont="1" applyFill="1"/>
    <xf numFmtId="167" fontId="0" fillId="0" borderId="0" xfId="0" applyNumberFormat="1"/>
    <xf numFmtId="167" fontId="4" fillId="0" borderId="0" xfId="0" applyNumberFormat="1" applyFont="1"/>
    <xf numFmtId="0" fontId="38" fillId="0" borderId="0" xfId="0" applyFont="1"/>
    <xf numFmtId="0" fontId="0" fillId="0" borderId="25" xfId="0" quotePrefix="1" applyBorder="1" applyAlignment="1">
      <alignment horizontal="center"/>
    </xf>
    <xf numFmtId="0" fontId="0" fillId="0" borderId="25" xfId="0" applyBorder="1"/>
    <xf numFmtId="2" fontId="0" fillId="0" borderId="25" xfId="0" applyNumberFormat="1" applyBorder="1"/>
    <xf numFmtId="2" fontId="0" fillId="0" borderId="25" xfId="0" applyNumberFormat="1" applyBorder="1" applyAlignment="1">
      <alignment horizontal="right"/>
    </xf>
    <xf numFmtId="2" fontId="36" fillId="0" borderId="25" xfId="0" applyNumberFormat="1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16" fontId="0" fillId="0" borderId="0" xfId="0" quotePrefix="1" applyNumberFormat="1" applyAlignment="1">
      <alignment horizontal="center" vertical="center"/>
    </xf>
    <xf numFmtId="14" fontId="0" fillId="0" borderId="0" xfId="0" applyNumberFormat="1"/>
    <xf numFmtId="168" fontId="1" fillId="0" borderId="1" xfId="0" applyNumberFormat="1" applyFont="1" applyBorder="1" applyAlignment="1">
      <alignment horizontal="center"/>
    </xf>
    <xf numFmtId="168" fontId="32" fillId="0" borderId="1" xfId="0" applyNumberFormat="1" applyFont="1" applyBorder="1" applyAlignment="1">
      <alignment horizontal="center"/>
    </xf>
    <xf numFmtId="0" fontId="36" fillId="0" borderId="25" xfId="0" applyFont="1" applyBorder="1"/>
    <xf numFmtId="0" fontId="0" fillId="0" borderId="0" xfId="0" quotePrefix="1" applyAlignment="1">
      <alignment horizontal="center" vertical="center"/>
    </xf>
    <xf numFmtId="168" fontId="0" fillId="0" borderId="0" xfId="0" applyNumberFormat="1" applyAlignment="1">
      <alignment horizontal="right"/>
    </xf>
    <xf numFmtId="168" fontId="0" fillId="0" borderId="25" xfId="0" applyNumberFormat="1" applyBorder="1"/>
    <xf numFmtId="0" fontId="0" fillId="0" borderId="27" xfId="0" applyBorder="1"/>
    <xf numFmtId="168" fontId="0" fillId="0" borderId="27" xfId="0" applyNumberFormat="1" applyBorder="1"/>
    <xf numFmtId="2" fontId="0" fillId="0" borderId="27" xfId="0" applyNumberFormat="1" applyBorder="1"/>
    <xf numFmtId="0" fontId="0" fillId="0" borderId="28" xfId="0" applyBorder="1"/>
    <xf numFmtId="0" fontId="0" fillId="0" borderId="26" xfId="0" applyBorder="1"/>
    <xf numFmtId="0" fontId="0" fillId="0" borderId="30" xfId="0" applyBorder="1"/>
    <xf numFmtId="0" fontId="0" fillId="0" borderId="31" xfId="0" applyBorder="1"/>
    <xf numFmtId="2" fontId="36" fillId="0" borderId="25" xfId="0" applyNumberFormat="1" applyFont="1" applyBorder="1"/>
    <xf numFmtId="0" fontId="1" fillId="0" borderId="0" xfId="0" applyFont="1" applyAlignment="1">
      <alignment horizontal="center"/>
    </xf>
    <xf numFmtId="2" fontId="36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 vertical="center"/>
    </xf>
    <xf numFmtId="0" fontId="40" fillId="0" borderId="1" xfId="0" quotePrefix="1" applyFont="1" applyBorder="1" applyAlignment="1">
      <alignment horizontal="center"/>
    </xf>
    <xf numFmtId="4" fontId="40" fillId="0" borderId="1" xfId="0" applyNumberFormat="1" applyFont="1" applyBorder="1"/>
    <xf numFmtId="2" fontId="40" fillId="0" borderId="1" xfId="0" applyNumberFormat="1" applyFont="1" applyBorder="1" applyAlignment="1">
      <alignment horizontal="right"/>
    </xf>
    <xf numFmtId="4" fontId="40" fillId="0" borderId="1" xfId="0" applyNumberFormat="1" applyFont="1" applyBorder="1" applyAlignment="1">
      <alignment horizontal="right"/>
    </xf>
    <xf numFmtId="2" fontId="40" fillId="0" borderId="16" xfId="0" quotePrefix="1" applyNumberFormat="1" applyFont="1" applyBorder="1" applyAlignment="1">
      <alignment horizontal="center" vertical="center"/>
    </xf>
    <xf numFmtId="0" fontId="40" fillId="0" borderId="0" xfId="0" quotePrefix="1" applyFont="1" applyAlignment="1">
      <alignment horizontal="center"/>
    </xf>
    <xf numFmtId="0" fontId="40" fillId="0" borderId="0" xfId="0" applyFont="1" applyAlignment="1">
      <alignment horizontal="left"/>
    </xf>
    <xf numFmtId="4" fontId="40" fillId="0" borderId="0" xfId="0" applyNumberFormat="1" applyFont="1"/>
    <xf numFmtId="2" fontId="40" fillId="0" borderId="0" xfId="0" applyNumberFormat="1" applyFont="1" applyAlignment="1">
      <alignment horizontal="right"/>
    </xf>
    <xf numFmtId="4" fontId="40" fillId="0" borderId="0" xfId="0" applyNumberFormat="1" applyFont="1" applyAlignment="1">
      <alignment horizontal="right"/>
    </xf>
    <xf numFmtId="2" fontId="40" fillId="0" borderId="25" xfId="0" quotePrefix="1" applyNumberFormat="1" applyFont="1" applyBorder="1" applyAlignment="1">
      <alignment horizontal="center" vertical="center"/>
    </xf>
    <xf numFmtId="0" fontId="40" fillId="9" borderId="0" xfId="0" applyFont="1" applyFill="1" applyAlignment="1">
      <alignment horizontal="center"/>
    </xf>
    <xf numFmtId="0" fontId="40" fillId="9" borderId="0" xfId="0" applyFont="1" applyFill="1" applyAlignment="1">
      <alignment horizontal="left"/>
    </xf>
    <xf numFmtId="2" fontId="40" fillId="9" borderId="0" xfId="0" applyNumberFormat="1" applyFont="1" applyFill="1"/>
    <xf numFmtId="2" fontId="40" fillId="9" borderId="0" xfId="0" quotePrefix="1" applyNumberFormat="1" applyFont="1" applyFill="1" applyAlignment="1">
      <alignment vertical="center"/>
    </xf>
    <xf numFmtId="2" fontId="40" fillId="9" borderId="0" xfId="0" applyNumberFormat="1" applyFont="1" applyFill="1" applyAlignment="1">
      <alignment horizontal="right"/>
    </xf>
    <xf numFmtId="0" fontId="40" fillId="0" borderId="25" xfId="0" quotePrefix="1" applyFont="1" applyBorder="1" applyAlignment="1">
      <alignment horizontal="center"/>
    </xf>
    <xf numFmtId="0" fontId="40" fillId="0" borderId="25" xfId="0" applyFont="1" applyBorder="1" applyAlignment="1">
      <alignment horizontal="left"/>
    </xf>
    <xf numFmtId="2" fontId="40" fillId="0" borderId="25" xfId="0" applyNumberFormat="1" applyFont="1" applyBorder="1" applyAlignment="1">
      <alignment horizontal="right" vertical="center"/>
    </xf>
    <xf numFmtId="2" fontId="40" fillId="0" borderId="0" xfId="0" applyNumberFormat="1" applyFont="1" applyAlignment="1">
      <alignment horizontal="right" vertical="center"/>
    </xf>
    <xf numFmtId="2" fontId="40" fillId="0" borderId="0" xfId="0" quotePrefix="1" applyNumberFormat="1" applyFont="1" applyAlignment="1">
      <alignment horizontal="center" vertical="center"/>
    </xf>
    <xf numFmtId="0" fontId="0" fillId="0" borderId="9" xfId="0" applyBorder="1" applyAlignment="1">
      <alignment horizontal="center"/>
    </xf>
    <xf numFmtId="0" fontId="36" fillId="0" borderId="25" xfId="0" applyFont="1" applyBorder="1" applyAlignment="1">
      <alignment horizontal="left"/>
    </xf>
    <xf numFmtId="4" fontId="0" fillId="0" borderId="25" xfId="0" applyNumberFormat="1" applyBorder="1"/>
    <xf numFmtId="2" fontId="0" fillId="9" borderId="25" xfId="0" quotePrefix="1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right"/>
    </xf>
    <xf numFmtId="0" fontId="36" fillId="0" borderId="3" xfId="0" applyFont="1" applyBorder="1" applyAlignment="1">
      <alignment horizontal="left"/>
    </xf>
    <xf numFmtId="4" fontId="36" fillId="0" borderId="3" xfId="0" applyNumberFormat="1" applyFont="1" applyBorder="1"/>
    <xf numFmtId="2" fontId="36" fillId="0" borderId="3" xfId="0" applyNumberFormat="1" applyFont="1" applyBorder="1" applyAlignment="1">
      <alignment horizontal="right"/>
    </xf>
    <xf numFmtId="2" fontId="36" fillId="0" borderId="3" xfId="0" applyNumberFormat="1" applyFont="1" applyBorder="1"/>
    <xf numFmtId="2" fontId="0" fillId="9" borderId="29" xfId="0" quotePrefix="1" applyNumberForma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right"/>
    </xf>
    <xf numFmtId="2" fontId="0" fillId="9" borderId="27" xfId="0" quotePrefix="1" applyNumberFormat="1" applyFill="1" applyBorder="1" applyAlignment="1">
      <alignment horizontal="center" vertical="center"/>
    </xf>
    <xf numFmtId="2" fontId="0" fillId="9" borderId="25" xfId="0" applyNumberFormat="1" applyFill="1" applyBorder="1"/>
    <xf numFmtId="2" fontId="36" fillId="9" borderId="25" xfId="0" quotePrefix="1" applyNumberFormat="1" applyFont="1" applyFill="1" applyBorder="1" applyAlignment="1">
      <alignment vertical="center"/>
    </xf>
    <xf numFmtId="2" fontId="0" fillId="9" borderId="25" xfId="0" applyNumberFormat="1" applyFill="1" applyBorder="1" applyAlignment="1">
      <alignment horizontal="right"/>
    </xf>
    <xf numFmtId="0" fontId="0" fillId="9" borderId="25" xfId="0" applyFill="1" applyBorder="1" applyAlignment="1">
      <alignment horizontal="center"/>
    </xf>
    <xf numFmtId="0" fontId="0" fillId="9" borderId="25" xfId="0" applyFill="1" applyBorder="1" applyAlignment="1">
      <alignment horizontal="left"/>
    </xf>
    <xf numFmtId="2" fontId="42" fillId="0" borderId="1" xfId="0" applyNumberFormat="1" applyFont="1" applyBorder="1" applyAlignment="1">
      <alignment horizontal="right"/>
    </xf>
    <xf numFmtId="2" fontId="43" fillId="0" borderId="1" xfId="0" applyNumberFormat="1" applyFont="1" applyBorder="1" applyAlignment="1">
      <alignment horizontal="right" vertical="center"/>
    </xf>
    <xf numFmtId="4" fontId="42" fillId="0" borderId="1" xfId="0" applyNumberFormat="1" applyFont="1" applyBorder="1" applyAlignment="1">
      <alignment horizontal="right"/>
    </xf>
    <xf numFmtId="4" fontId="0" fillId="0" borderId="7" xfId="0" applyNumberFormat="1" applyBorder="1"/>
    <xf numFmtId="4" fontId="0" fillId="0" borderId="7" xfId="0" applyNumberFormat="1" applyBorder="1" applyAlignment="1">
      <alignment horizontal="right"/>
    </xf>
    <xf numFmtId="4" fontId="42" fillId="0" borderId="1" xfId="0" applyNumberFormat="1" applyFont="1" applyBorder="1"/>
    <xf numFmtId="4" fontId="36" fillId="0" borderId="1" xfId="0" applyNumberFormat="1" applyFont="1" applyBorder="1"/>
    <xf numFmtId="2" fontId="42" fillId="0" borderId="0" xfId="0" applyNumberFormat="1" applyFont="1" applyAlignment="1">
      <alignment horizontal="right"/>
    </xf>
    <xf numFmtId="4" fontId="42" fillId="0" borderId="0" xfId="0" applyNumberFormat="1" applyFont="1" applyAlignment="1">
      <alignment horizontal="right"/>
    </xf>
    <xf numFmtId="4" fontId="42" fillId="0" borderId="0" xfId="0" applyNumberFormat="1" applyFont="1"/>
    <xf numFmtId="2" fontId="42" fillId="0" borderId="0" xfId="0" applyNumberFormat="1" applyFont="1" applyAlignment="1">
      <alignment horizontal="right" vertical="center"/>
    </xf>
    <xf numFmtId="2" fontId="36" fillId="0" borderId="9" xfId="0" applyNumberFormat="1" applyFont="1" applyBorder="1" applyAlignment="1">
      <alignment horizontal="right"/>
    </xf>
    <xf numFmtId="2" fontId="42" fillId="0" borderId="3" xfId="0" applyNumberFormat="1" applyFont="1" applyBorder="1" applyAlignment="1">
      <alignment horizontal="right"/>
    </xf>
    <xf numFmtId="2" fontId="36" fillId="2" borderId="1" xfId="0" applyNumberFormat="1" applyFont="1" applyFill="1" applyBorder="1" applyAlignment="1">
      <alignment horizontal="right"/>
    </xf>
    <xf numFmtId="2" fontId="36" fillId="0" borderId="1" xfId="0" quotePrefix="1" applyNumberFormat="1" applyFont="1" applyBorder="1" applyAlignment="1">
      <alignment horizontal="right" vertical="center"/>
    </xf>
    <xf numFmtId="2" fontId="0" fillId="0" borderId="7" xfId="0" quotePrefix="1" applyNumberFormat="1" applyBorder="1" applyAlignment="1">
      <alignment horizontal="center" vertical="center"/>
    </xf>
    <xf numFmtId="4" fontId="0" fillId="0" borderId="9" xfId="0" applyNumberFormat="1" applyBorder="1"/>
    <xf numFmtId="2" fontId="36" fillId="0" borderId="2" xfId="0" quotePrefix="1" applyNumberFormat="1" applyFont="1" applyBorder="1" applyAlignment="1">
      <alignment horizontal="right" vertical="center"/>
    </xf>
    <xf numFmtId="2" fontId="42" fillId="2" borderId="0" xfId="0" applyNumberFormat="1" applyFont="1" applyFill="1" applyAlignment="1">
      <alignment horizontal="right"/>
    </xf>
    <xf numFmtId="2" fontId="45" fillId="0" borderId="0" xfId="0" applyNumberFormat="1" applyFont="1" applyAlignment="1">
      <alignment horizontal="center"/>
    </xf>
    <xf numFmtId="0" fontId="45" fillId="0" borderId="25" xfId="0" applyFont="1" applyBorder="1" applyAlignment="1">
      <alignment horizontal="center"/>
    </xf>
    <xf numFmtId="0" fontId="46" fillId="0" borderId="16" xfId="0" applyFont="1" applyBorder="1" applyAlignment="1">
      <alignment horizontal="left"/>
    </xf>
    <xf numFmtId="2" fontId="45" fillId="0" borderId="16" xfId="0" applyNumberFormat="1" applyFont="1" applyBorder="1" applyAlignment="1">
      <alignment horizontal="right"/>
    </xf>
    <xf numFmtId="2" fontId="46" fillId="0" borderId="16" xfId="0" applyNumberFormat="1" applyFont="1" applyBorder="1" applyAlignment="1">
      <alignment horizontal="right"/>
    </xf>
    <xf numFmtId="2" fontId="45" fillId="0" borderId="16" xfId="0" quotePrefix="1" applyNumberFormat="1" applyFont="1" applyBorder="1" applyAlignment="1">
      <alignment horizontal="center" vertical="center"/>
    </xf>
    <xf numFmtId="0" fontId="46" fillId="0" borderId="16" xfId="0" applyFont="1" applyBorder="1" applyAlignment="1">
      <alignment horizontal="center"/>
    </xf>
    <xf numFmtId="0" fontId="46" fillId="0" borderId="1" xfId="0" applyFont="1" applyBorder="1" applyAlignment="1">
      <alignment horizontal="left"/>
    </xf>
    <xf numFmtId="2" fontId="45" fillId="0" borderId="16" xfId="0" applyNumberFormat="1" applyFont="1" applyBorder="1"/>
    <xf numFmtId="0" fontId="46" fillId="0" borderId="14" xfId="0" applyFont="1" applyBorder="1" applyAlignment="1">
      <alignment horizontal="center"/>
    </xf>
    <xf numFmtId="0" fontId="46" fillId="0" borderId="14" xfId="0" applyFont="1" applyBorder="1" applyAlignment="1">
      <alignment horizontal="left"/>
    </xf>
    <xf numFmtId="2" fontId="45" fillId="0" borderId="14" xfId="0" applyNumberFormat="1" applyFont="1" applyBorder="1"/>
    <xf numFmtId="2" fontId="46" fillId="0" borderId="14" xfId="0" applyNumberFormat="1" applyFont="1" applyBorder="1" applyAlignment="1">
      <alignment horizontal="right"/>
    </xf>
    <xf numFmtId="2" fontId="45" fillId="0" borderId="14" xfId="0" applyNumberFormat="1" applyFont="1" applyBorder="1" applyAlignment="1">
      <alignment horizontal="right"/>
    </xf>
    <xf numFmtId="0" fontId="46" fillId="0" borderId="1" xfId="0" applyFont="1" applyBorder="1" applyAlignment="1">
      <alignment horizontal="center"/>
    </xf>
    <xf numFmtId="2" fontId="45" fillId="0" borderId="1" xfId="0" applyNumberFormat="1" applyFont="1" applyBorder="1"/>
    <xf numFmtId="2" fontId="46" fillId="0" borderId="1" xfId="0" applyNumberFormat="1" applyFont="1" applyBorder="1" applyAlignment="1">
      <alignment horizontal="right"/>
    </xf>
    <xf numFmtId="2" fontId="45" fillId="0" borderId="1" xfId="0" applyNumberFormat="1" applyFont="1" applyBorder="1" applyAlignment="1">
      <alignment horizontal="right"/>
    </xf>
    <xf numFmtId="0" fontId="45" fillId="0" borderId="1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45" fillId="0" borderId="7" xfId="0" applyFont="1" applyBorder="1" applyAlignment="1">
      <alignment horizontal="left"/>
    </xf>
    <xf numFmtId="2" fontId="45" fillId="0" borderId="7" xfId="0" applyNumberFormat="1" applyFont="1" applyBorder="1"/>
    <xf numFmtId="2" fontId="46" fillId="0" borderId="7" xfId="0" applyNumberFormat="1" applyFont="1" applyBorder="1" applyAlignment="1">
      <alignment horizontal="right"/>
    </xf>
    <xf numFmtId="2" fontId="45" fillId="0" borderId="7" xfId="0" applyNumberFormat="1" applyFont="1" applyBorder="1" applyAlignment="1">
      <alignment horizontal="right"/>
    </xf>
    <xf numFmtId="0" fontId="45" fillId="0" borderId="1" xfId="0" applyFont="1" applyBorder="1" applyAlignment="1">
      <alignment horizontal="left"/>
    </xf>
    <xf numFmtId="0" fontId="46" fillId="0" borderId="7" xfId="0" applyFont="1" applyBorder="1" applyAlignment="1">
      <alignment horizontal="center"/>
    </xf>
    <xf numFmtId="0" fontId="46" fillId="0" borderId="7" xfId="0" applyFont="1" applyBorder="1" applyAlignment="1">
      <alignment horizontal="left"/>
    </xf>
    <xf numFmtId="2" fontId="45" fillId="0" borderId="14" xfId="0" quotePrefix="1" applyNumberFormat="1" applyFont="1" applyBorder="1" applyAlignment="1">
      <alignment horizontal="center" vertical="center"/>
    </xf>
    <xf numFmtId="2" fontId="46" fillId="0" borderId="14" xfId="0" quotePrefix="1" applyNumberFormat="1" applyFont="1" applyBorder="1" applyAlignment="1">
      <alignment horizontal="right" vertical="center"/>
    </xf>
    <xf numFmtId="0" fontId="45" fillId="0" borderId="25" xfId="0" applyFont="1" applyBorder="1" applyAlignment="1">
      <alignment horizontal="left"/>
    </xf>
    <xf numFmtId="2" fontId="45" fillId="0" borderId="25" xfId="0" applyNumberFormat="1" applyFont="1" applyBorder="1"/>
    <xf numFmtId="2" fontId="45" fillId="0" borderId="25" xfId="0" quotePrefix="1" applyNumberFormat="1" applyFont="1" applyBorder="1" applyAlignment="1">
      <alignment horizontal="center" vertical="center"/>
    </xf>
    <xf numFmtId="2" fontId="46" fillId="0" borderId="25" xfId="0" applyNumberFormat="1" applyFont="1" applyBorder="1" applyAlignment="1">
      <alignment horizontal="right"/>
    </xf>
    <xf numFmtId="2" fontId="45" fillId="0" borderId="25" xfId="0" applyNumberFormat="1" applyFont="1" applyBorder="1" applyAlignment="1">
      <alignment horizontal="right"/>
    </xf>
    <xf numFmtId="0" fontId="46" fillId="0" borderId="25" xfId="0" applyFont="1" applyBorder="1" applyAlignment="1">
      <alignment horizontal="center"/>
    </xf>
    <xf numFmtId="0" fontId="46" fillId="0" borderId="25" xfId="0" applyFont="1" applyBorder="1" applyAlignment="1">
      <alignment horizontal="left"/>
    </xf>
    <xf numFmtId="2" fontId="46" fillId="0" borderId="25" xfId="0" quotePrefix="1" applyNumberFormat="1" applyFont="1" applyBorder="1" applyAlignment="1">
      <alignment vertical="center"/>
    </xf>
    <xf numFmtId="0" fontId="45" fillId="0" borderId="0" xfId="0" applyFont="1" applyAlignment="1">
      <alignment horizontal="left"/>
    </xf>
    <xf numFmtId="4" fontId="45" fillId="0" borderId="0" xfId="0" applyNumberFormat="1" applyFont="1"/>
    <xf numFmtId="4" fontId="45" fillId="0" borderId="0" xfId="0" applyNumberFormat="1" applyFont="1" applyAlignment="1">
      <alignment horizontal="right"/>
    </xf>
    <xf numFmtId="0" fontId="45" fillId="0" borderId="0" xfId="0" applyFont="1" applyAlignment="1">
      <alignment horizontal="center" vertical="center"/>
    </xf>
    <xf numFmtId="0" fontId="45" fillId="0" borderId="1" xfId="0" quotePrefix="1" applyFont="1" applyBorder="1" applyAlignment="1">
      <alignment horizontal="center"/>
    </xf>
    <xf numFmtId="0" fontId="45" fillId="0" borderId="2" xfId="0" applyFont="1" applyBorder="1" applyAlignment="1">
      <alignment horizontal="left"/>
    </xf>
    <xf numFmtId="4" fontId="45" fillId="0" borderId="1" xfId="0" applyNumberFormat="1" applyFont="1" applyBorder="1"/>
    <xf numFmtId="2" fontId="46" fillId="0" borderId="1" xfId="0" applyNumberFormat="1" applyFont="1" applyBorder="1"/>
    <xf numFmtId="0" fontId="45" fillId="0" borderId="3" xfId="0" quotePrefix="1" applyFont="1" applyBorder="1" applyAlignment="1">
      <alignment horizontal="center"/>
    </xf>
    <xf numFmtId="2" fontId="45" fillId="0" borderId="0" xfId="0" applyNumberFormat="1" applyFont="1" applyAlignment="1">
      <alignment horizontal="right"/>
    </xf>
    <xf numFmtId="0" fontId="45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2" fontId="46" fillId="0" borderId="0" xfId="0" applyNumberFormat="1" applyFont="1" applyAlignment="1">
      <alignment horizontal="right"/>
    </xf>
    <xf numFmtId="0" fontId="45" fillId="0" borderId="14" xfId="0" quotePrefix="1" applyFont="1" applyBorder="1" applyAlignment="1">
      <alignment horizontal="center"/>
    </xf>
    <xf numFmtId="2" fontId="45" fillId="0" borderId="1" xfId="0" quotePrefix="1" applyNumberFormat="1" applyFont="1" applyBorder="1" applyAlignment="1">
      <alignment horizontal="right" vertical="center"/>
    </xf>
    <xf numFmtId="2" fontId="46" fillId="0" borderId="1" xfId="0" applyNumberFormat="1" applyFont="1" applyBorder="1" applyAlignment="1">
      <alignment horizontal="right" vertical="center"/>
    </xf>
    <xf numFmtId="2" fontId="45" fillId="0" borderId="1" xfId="0" applyNumberFormat="1" applyFont="1" applyBorder="1" applyAlignment="1">
      <alignment horizontal="right" vertical="center"/>
    </xf>
    <xf numFmtId="0" fontId="45" fillId="0" borderId="7" xfId="0" quotePrefix="1" applyFont="1" applyBorder="1" applyAlignment="1">
      <alignment horizontal="center"/>
    </xf>
    <xf numFmtId="2" fontId="45" fillId="0" borderId="7" xfId="0" quotePrefix="1" applyNumberFormat="1" applyFont="1" applyBorder="1" applyAlignment="1">
      <alignment horizontal="right" vertical="center"/>
    </xf>
    <xf numFmtId="2" fontId="45" fillId="0" borderId="7" xfId="0" applyNumberFormat="1" applyFont="1" applyBorder="1" applyAlignment="1">
      <alignment horizontal="right" vertical="center"/>
    </xf>
    <xf numFmtId="2" fontId="46" fillId="0" borderId="7" xfId="0" applyNumberFormat="1" applyFont="1" applyBorder="1" applyAlignment="1">
      <alignment horizontal="right" vertical="center"/>
    </xf>
    <xf numFmtId="0" fontId="45" fillId="0" borderId="7" xfId="0" applyFont="1" applyBorder="1"/>
    <xf numFmtId="2" fontId="45" fillId="0" borderId="7" xfId="0" quotePrefix="1" applyNumberFormat="1" applyFont="1" applyBorder="1"/>
    <xf numFmtId="2" fontId="47" fillId="0" borderId="7" xfId="0" applyNumberFormat="1" applyFont="1" applyBorder="1" applyAlignment="1">
      <alignment horizontal="right" vertical="center"/>
    </xf>
    <xf numFmtId="2" fontId="45" fillId="0" borderId="1" xfId="0" quotePrefix="1" applyNumberFormat="1" applyFont="1" applyBorder="1"/>
    <xf numFmtId="2" fontId="48" fillId="0" borderId="1" xfId="0" applyNumberFormat="1" applyFont="1" applyBorder="1" applyAlignment="1">
      <alignment horizontal="right"/>
    </xf>
    <xf numFmtId="0" fontId="45" fillId="0" borderId="1" xfId="0" applyFont="1" applyBorder="1"/>
    <xf numFmtId="0" fontId="45" fillId="0" borderId="8" xfId="0" quotePrefix="1" applyFont="1" applyBorder="1" applyAlignment="1">
      <alignment horizontal="center"/>
    </xf>
    <xf numFmtId="0" fontId="45" fillId="0" borderId="27" xfId="0" quotePrefix="1" applyFont="1" applyBorder="1" applyAlignment="1">
      <alignment horizontal="center"/>
    </xf>
    <xf numFmtId="0" fontId="45" fillId="0" borderId="27" xfId="0" applyFont="1" applyBorder="1"/>
    <xf numFmtId="2" fontId="45" fillId="0" borderId="27" xfId="0" applyNumberFormat="1" applyFont="1" applyBorder="1" applyAlignment="1">
      <alignment horizontal="right"/>
    </xf>
    <xf numFmtId="2" fontId="46" fillId="0" borderId="27" xfId="0" applyNumberFormat="1" applyFont="1" applyBorder="1" applyAlignment="1">
      <alignment horizontal="right"/>
    </xf>
    <xf numFmtId="2" fontId="45" fillId="0" borderId="27" xfId="0" applyNumberFormat="1" applyFont="1" applyBorder="1" applyAlignment="1">
      <alignment horizontal="right" vertical="center"/>
    </xf>
    <xf numFmtId="0" fontId="45" fillId="0" borderId="25" xfId="0" quotePrefix="1" applyFont="1" applyBorder="1" applyAlignment="1">
      <alignment horizontal="center"/>
    </xf>
    <xf numFmtId="0" fontId="45" fillId="0" borderId="25" xfId="0" applyFont="1" applyBorder="1"/>
    <xf numFmtId="2" fontId="45" fillId="0" borderId="25" xfId="0" applyNumberFormat="1" applyFont="1" applyBorder="1" applyAlignment="1">
      <alignment horizontal="right" vertical="center"/>
    </xf>
    <xf numFmtId="0" fontId="45" fillId="0" borderId="0" xfId="0" applyFont="1"/>
    <xf numFmtId="4" fontId="45" fillId="0" borderId="0" xfId="0" quotePrefix="1" applyNumberFormat="1" applyFont="1"/>
    <xf numFmtId="2" fontId="45" fillId="0" borderId="0" xfId="0" applyNumberFormat="1" applyFont="1"/>
    <xf numFmtId="2" fontId="45" fillId="0" borderId="1" xfId="0" quotePrefix="1" applyNumberFormat="1" applyFont="1" applyBorder="1" applyAlignment="1">
      <alignment horizontal="center" vertical="center"/>
    </xf>
    <xf numFmtId="4" fontId="46" fillId="0" borderId="1" xfId="0" applyNumberFormat="1" applyFont="1" applyBorder="1"/>
    <xf numFmtId="4" fontId="45" fillId="0" borderId="1" xfId="0" applyNumberFormat="1" applyFont="1" applyBorder="1" applyAlignment="1">
      <alignment horizontal="right"/>
    </xf>
    <xf numFmtId="4" fontId="46" fillId="0" borderId="1" xfId="0" applyNumberFormat="1" applyFont="1" applyBorder="1" applyAlignment="1">
      <alignment horizontal="right"/>
    </xf>
    <xf numFmtId="2" fontId="48" fillId="0" borderId="0" xfId="0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8" fillId="0" borderId="0" xfId="0" applyNumberFormat="1" applyFont="1"/>
    <xf numFmtId="2" fontId="48" fillId="0" borderId="0" xfId="0" applyNumberFormat="1" applyFont="1" applyAlignment="1">
      <alignment horizontal="right" vertical="center"/>
    </xf>
    <xf numFmtId="0" fontId="45" fillId="2" borderId="1" xfId="0" applyFont="1" applyFill="1" applyBorder="1"/>
    <xf numFmtId="2" fontId="46" fillId="2" borderId="1" xfId="0" applyNumberFormat="1" applyFont="1" applyFill="1" applyBorder="1" applyAlignment="1">
      <alignment horizontal="right"/>
    </xf>
    <xf numFmtId="2" fontId="48" fillId="2" borderId="0" xfId="0" applyNumberFormat="1" applyFont="1" applyFill="1" applyAlignment="1">
      <alignment horizontal="right"/>
    </xf>
    <xf numFmtId="2" fontId="45" fillId="2" borderId="0" xfId="0" applyNumberFormat="1" applyFont="1" applyFill="1" applyAlignment="1">
      <alignment horizontal="right" vertical="top" wrapText="1"/>
    </xf>
    <xf numFmtId="0" fontId="0" fillId="0" borderId="0" xfId="0" applyAlignment="1">
      <alignment horizontal="right"/>
    </xf>
    <xf numFmtId="168" fontId="0" fillId="0" borderId="0" xfId="0" applyNumberFormat="1" applyAlignment="1">
      <alignment horizontal="center" vertical="center"/>
    </xf>
    <xf numFmtId="0" fontId="0" fillId="9" borderId="27" xfId="0" applyFill="1" applyBorder="1" applyAlignment="1">
      <alignment horizontal="center"/>
    </xf>
    <xf numFmtId="0" fontId="0" fillId="9" borderId="27" xfId="0" applyFill="1" applyBorder="1" applyAlignment="1">
      <alignment horizontal="left"/>
    </xf>
    <xf numFmtId="2" fontId="0" fillId="9" borderId="27" xfId="0" applyNumberFormat="1" applyFill="1" applyBorder="1" applyAlignment="1">
      <alignment horizontal="right"/>
    </xf>
    <xf numFmtId="2" fontId="36" fillId="0" borderId="2" xfId="0" applyNumberFormat="1" applyFont="1" applyBorder="1" applyAlignment="1">
      <alignment horizontal="right"/>
    </xf>
    <xf numFmtId="0" fontId="35" fillId="0" borderId="0" xfId="1" quotePrefix="1" applyAlignment="1">
      <alignment wrapText="1"/>
    </xf>
    <xf numFmtId="4" fontId="36" fillId="0" borderId="7" xfId="0" applyNumberFormat="1" applyFont="1" applyBorder="1" applyAlignment="1">
      <alignment horizontal="right"/>
    </xf>
    <xf numFmtId="4" fontId="0" fillId="0" borderId="25" xfId="0" applyNumberFormat="1" applyBorder="1" applyAlignment="1">
      <alignment horizontal="right"/>
    </xf>
    <xf numFmtId="0" fontId="37" fillId="0" borderId="25" xfId="0" applyFont="1" applyBorder="1"/>
    <xf numFmtId="4" fontId="0" fillId="0" borderId="32" xfId="0" applyNumberFormat="1" applyBorder="1" applyAlignment="1">
      <alignment horizontal="right"/>
    </xf>
    <xf numFmtId="2" fontId="36" fillId="0" borderId="32" xfId="0" applyNumberFormat="1" applyFont="1" applyBorder="1" applyAlignment="1">
      <alignment horizontal="right"/>
    </xf>
    <xf numFmtId="2" fontId="0" fillId="0" borderId="29" xfId="0" applyNumberFormat="1" applyBorder="1" applyAlignment="1">
      <alignment horizontal="right"/>
    </xf>
    <xf numFmtId="2" fontId="36" fillId="9" borderId="27" xfId="0" quotePrefix="1" applyNumberFormat="1" applyFont="1" applyFill="1" applyBorder="1" applyAlignment="1">
      <alignment vertical="center"/>
    </xf>
    <xf numFmtId="0" fontId="50" fillId="0" borderId="9" xfId="0" applyFont="1" applyBorder="1" applyAlignment="1">
      <alignment horizontal="center"/>
    </xf>
    <xf numFmtId="0" fontId="51" fillId="0" borderId="25" xfId="0" applyFont="1" applyBorder="1" applyAlignment="1">
      <alignment horizontal="left"/>
    </xf>
    <xf numFmtId="4" fontId="50" fillId="0" borderId="25" xfId="0" applyNumberFormat="1" applyFont="1" applyBorder="1"/>
    <xf numFmtId="2" fontId="51" fillId="0" borderId="25" xfId="0" applyNumberFormat="1" applyFont="1" applyBorder="1" applyAlignment="1">
      <alignment horizontal="right"/>
    </xf>
    <xf numFmtId="2" fontId="50" fillId="9" borderId="25" xfId="0" quotePrefix="1" applyNumberFormat="1" applyFont="1" applyFill="1" applyBorder="1" applyAlignment="1">
      <alignment horizontal="center" vertical="center"/>
    </xf>
    <xf numFmtId="2" fontId="50" fillId="0" borderId="2" xfId="0" applyNumberFormat="1" applyFont="1" applyBorder="1" applyAlignment="1">
      <alignment horizontal="right"/>
    </xf>
    <xf numFmtId="0" fontId="50" fillId="0" borderId="0" xfId="0" applyFont="1"/>
    <xf numFmtId="2" fontId="50" fillId="0" borderId="0" xfId="0" applyNumberFormat="1" applyFont="1"/>
    <xf numFmtId="4" fontId="51" fillId="0" borderId="25" xfId="0" applyNumberFormat="1" applyFont="1" applyBorder="1"/>
    <xf numFmtId="0" fontId="50" fillId="0" borderId="1" xfId="0" applyFont="1" applyBorder="1" applyAlignment="1">
      <alignment horizontal="center"/>
    </xf>
    <xf numFmtId="0" fontId="51" fillId="0" borderId="1" xfId="0" applyFont="1" applyBorder="1" applyAlignment="1">
      <alignment horizontal="left"/>
    </xf>
    <xf numFmtId="4" fontId="50" fillId="0" borderId="1" xfId="0" applyNumberFormat="1" applyFont="1" applyBorder="1"/>
    <xf numFmtId="2" fontId="51" fillId="0" borderId="1" xfId="0" applyNumberFormat="1" applyFont="1" applyBorder="1" applyAlignment="1">
      <alignment horizontal="right"/>
    </xf>
    <xf numFmtId="2" fontId="50" fillId="0" borderId="1" xfId="0" applyNumberFormat="1" applyFont="1" applyBorder="1" applyAlignment="1">
      <alignment horizontal="right"/>
    </xf>
    <xf numFmtId="0" fontId="50" fillId="0" borderId="1" xfId="0" applyFont="1" applyBorder="1" applyAlignment="1">
      <alignment horizontal="left"/>
    </xf>
    <xf numFmtId="2" fontId="50" fillId="0" borderId="1" xfId="0" applyNumberFormat="1" applyFont="1" applyBorder="1"/>
    <xf numFmtId="0" fontId="51" fillId="9" borderId="25" xfId="0" applyFont="1" applyFill="1" applyBorder="1" applyAlignment="1">
      <alignment horizontal="center"/>
    </xf>
    <xf numFmtId="0" fontId="51" fillId="9" borderId="25" xfId="0" applyFont="1" applyFill="1" applyBorder="1" applyAlignment="1">
      <alignment horizontal="left"/>
    </xf>
    <xf numFmtId="2" fontId="50" fillId="9" borderId="25" xfId="0" applyNumberFormat="1" applyFont="1" applyFill="1" applyBorder="1"/>
    <xf numFmtId="2" fontId="51" fillId="9" borderId="25" xfId="0" quotePrefix="1" applyNumberFormat="1" applyFont="1" applyFill="1" applyBorder="1" applyAlignment="1">
      <alignment vertical="center"/>
    </xf>
    <xf numFmtId="2" fontId="50" fillId="9" borderId="25" xfId="0" applyNumberFormat="1" applyFont="1" applyFill="1" applyBorder="1" applyAlignment="1">
      <alignment horizontal="right"/>
    </xf>
    <xf numFmtId="0" fontId="50" fillId="9" borderId="0" xfId="0" applyFont="1" applyFill="1"/>
    <xf numFmtId="0" fontId="50" fillId="9" borderId="25" xfId="0" applyFont="1" applyFill="1" applyBorder="1" applyAlignment="1">
      <alignment horizontal="center"/>
    </xf>
    <xf numFmtId="0" fontId="50" fillId="9" borderId="25" xfId="0" applyFont="1" applyFill="1" applyBorder="1" applyAlignment="1">
      <alignment horizontal="left"/>
    </xf>
    <xf numFmtId="2" fontId="50" fillId="9" borderId="28" xfId="0" quotePrefix="1" applyNumberFormat="1" applyFont="1" applyFill="1" applyBorder="1" applyAlignment="1">
      <alignment horizontal="center" vertical="center"/>
    </xf>
    <xf numFmtId="2" fontId="50" fillId="0" borderId="25" xfId="0" quotePrefix="1" applyNumberFormat="1" applyFont="1" applyBorder="1" applyAlignment="1">
      <alignment horizontal="center" vertical="center"/>
    </xf>
    <xf numFmtId="168" fontId="0" fillId="0" borderId="0" xfId="0" applyNumberFormat="1" applyAlignment="1">
      <alignment horizontal="center"/>
    </xf>
    <xf numFmtId="2" fontId="0" fillId="0" borderId="30" xfId="0" applyNumberFormat="1" applyBorder="1"/>
    <xf numFmtId="2" fontId="0" fillId="0" borderId="28" xfId="0" applyNumberFormat="1" applyBorder="1"/>
    <xf numFmtId="168" fontId="52" fillId="0" borderId="0" xfId="0" applyNumberFormat="1" applyFont="1"/>
    <xf numFmtId="2" fontId="52" fillId="0" borderId="0" xfId="0" applyNumberFormat="1" applyFont="1"/>
    <xf numFmtId="0" fontId="52" fillId="0" borderId="0" xfId="0" applyFont="1"/>
    <xf numFmtId="2" fontId="52" fillId="0" borderId="0" xfId="0" applyNumberFormat="1" applyFont="1" applyAlignment="1">
      <alignment horizontal="center"/>
    </xf>
    <xf numFmtId="168" fontId="52" fillId="0" borderId="25" xfId="0" applyNumberFormat="1" applyFont="1" applyBorder="1"/>
    <xf numFmtId="0" fontId="52" fillId="0" borderId="25" xfId="0" quotePrefix="1" applyFont="1" applyBorder="1"/>
    <xf numFmtId="2" fontId="52" fillId="0" borderId="25" xfId="0" applyNumberFormat="1" applyFont="1" applyBorder="1"/>
    <xf numFmtId="0" fontId="52" fillId="0" borderId="25" xfId="0" applyFont="1" applyBorder="1"/>
    <xf numFmtId="168" fontId="52" fillId="0" borderId="0" xfId="0" applyNumberFormat="1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52" fillId="0" borderId="27" xfId="0" applyFont="1" applyBorder="1"/>
    <xf numFmtId="168" fontId="52" fillId="0" borderId="27" xfId="0" applyNumberFormat="1" applyFont="1" applyBorder="1"/>
    <xf numFmtId="2" fontId="52" fillId="0" borderId="31" xfId="0" applyNumberFormat="1" applyFont="1" applyBorder="1"/>
    <xf numFmtId="2" fontId="52" fillId="0" borderId="27" xfId="0" applyNumberFormat="1" applyFont="1" applyBorder="1"/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5" xfId="0" quotePrefix="1" applyBorder="1"/>
    <xf numFmtId="0" fontId="0" fillId="0" borderId="29" xfId="0" applyBorder="1"/>
    <xf numFmtId="0" fontId="0" fillId="0" borderId="27" xfId="0" quotePrefix="1" applyBorder="1"/>
    <xf numFmtId="168" fontId="0" fillId="0" borderId="29" xfId="0" applyNumberFormat="1" applyBorder="1"/>
    <xf numFmtId="2" fontId="53" fillId="0" borderId="0" xfId="0" applyNumberFormat="1" applyFont="1"/>
    <xf numFmtId="4" fontId="0" fillId="0" borderId="9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2" fontId="0" fillId="0" borderId="9" xfId="0" quotePrefix="1" applyNumberFormat="1" applyBorder="1" applyAlignment="1">
      <alignment horizontal="center" vertical="center"/>
    </xf>
    <xf numFmtId="2" fontId="51" fillId="9" borderId="26" xfId="0" quotePrefix="1" applyNumberFormat="1" applyFont="1" applyFill="1" applyBorder="1" applyAlignment="1">
      <alignment vertical="center"/>
    </xf>
    <xf numFmtId="0" fontId="50" fillId="0" borderId="1" xfId="0" quotePrefix="1" applyFont="1" applyBorder="1" applyAlignment="1">
      <alignment horizontal="center"/>
    </xf>
    <xf numFmtId="0" fontId="50" fillId="0" borderId="1" xfId="0" applyFont="1" applyBorder="1" applyAlignment="1">
      <alignment horizontal="left" vertical="center"/>
    </xf>
    <xf numFmtId="0" fontId="50" fillId="0" borderId="0" xfId="0" applyFont="1" applyAlignment="1">
      <alignment horizontal="center"/>
    </xf>
    <xf numFmtId="4" fontId="51" fillId="0" borderId="1" xfId="0" applyNumberFormat="1" applyFont="1" applyBorder="1" applyAlignment="1">
      <alignment horizontal="right"/>
    </xf>
    <xf numFmtId="4" fontId="50" fillId="0" borderId="1" xfId="0" applyNumberFormat="1" applyFont="1" applyBorder="1" applyAlignment="1">
      <alignment horizontal="right"/>
    </xf>
    <xf numFmtId="0" fontId="50" fillId="0" borderId="2" xfId="0" applyFont="1" applyBorder="1" applyAlignment="1">
      <alignment horizontal="left"/>
    </xf>
    <xf numFmtId="0" fontId="50" fillId="0" borderId="25" xfId="0" applyFont="1" applyBorder="1"/>
    <xf numFmtId="2" fontId="50" fillId="0" borderId="25" xfId="0" applyNumberFormat="1" applyFont="1" applyBorder="1"/>
    <xf numFmtId="2" fontId="50" fillId="0" borderId="25" xfId="0" applyNumberFormat="1" applyFont="1" applyBorder="1" applyAlignment="1">
      <alignment horizontal="right"/>
    </xf>
    <xf numFmtId="2" fontId="50" fillId="0" borderId="25" xfId="0" applyNumberFormat="1" applyFont="1" applyBorder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168" fontId="0" fillId="0" borderId="28" xfId="0" applyNumberFormat="1" applyBorder="1"/>
    <xf numFmtId="168" fontId="0" fillId="0" borderId="30" xfId="0" applyNumberFormat="1" applyBorder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2" fillId="0" borderId="25" xfId="0" quotePrefix="1" applyFont="1" applyBorder="1" applyAlignment="1">
      <alignment horizontal="center" vertical="center"/>
    </xf>
    <xf numFmtId="0" fontId="52" fillId="0" borderId="25" xfId="0" applyFont="1" applyBorder="1" applyAlignment="1">
      <alignment horizontal="center" vertical="center"/>
    </xf>
    <xf numFmtId="168" fontId="52" fillId="0" borderId="0" xfId="0" applyNumberFormat="1" applyFont="1" applyAlignment="1">
      <alignment horizontal="center" vertical="center"/>
    </xf>
    <xf numFmtId="0" fontId="52" fillId="0" borderId="27" xfId="0" applyFont="1" applyBorder="1" applyAlignment="1">
      <alignment horizontal="center" vertical="center"/>
    </xf>
    <xf numFmtId="0" fontId="52" fillId="0" borderId="31" xfId="0" applyFont="1" applyBorder="1" applyAlignment="1">
      <alignment horizontal="center" vertical="center"/>
    </xf>
    <xf numFmtId="0" fontId="0" fillId="0" borderId="27" xfId="0" quotePrefix="1" applyBorder="1" applyAlignment="1">
      <alignment horizontal="center" vertical="center"/>
    </xf>
    <xf numFmtId="0" fontId="0" fillId="0" borderId="25" xfId="0" quotePrefix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8" fontId="50" fillId="0" borderId="25" xfId="0" applyNumberFormat="1" applyFont="1" applyBorder="1"/>
    <xf numFmtId="0" fontId="50" fillId="0" borderId="25" xfId="0" applyFont="1" applyBorder="1" applyAlignment="1">
      <alignment horizontal="center" vertical="center"/>
    </xf>
    <xf numFmtId="168" fontId="50" fillId="0" borderId="27" xfId="0" applyNumberFormat="1" applyFont="1" applyBorder="1"/>
    <xf numFmtId="2" fontId="50" fillId="0" borderId="27" xfId="0" applyNumberFormat="1" applyFont="1" applyBorder="1"/>
    <xf numFmtId="0" fontId="50" fillId="0" borderId="27" xfId="0" applyFont="1" applyBorder="1"/>
    <xf numFmtId="2" fontId="50" fillId="0" borderId="28" xfId="0" applyNumberFormat="1" applyFont="1" applyBorder="1"/>
    <xf numFmtId="0" fontId="8" fillId="0" borderId="1" xfId="0" applyFont="1" applyBorder="1" applyAlignment="1">
      <alignment horizontal="center" vertical="center"/>
    </xf>
    <xf numFmtId="0" fontId="54" fillId="0" borderId="0" xfId="0" applyFont="1"/>
    <xf numFmtId="0" fontId="55" fillId="5" borderId="1" xfId="0" applyFont="1" applyFill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7" fillId="3" borderId="1" xfId="0" applyFont="1" applyFill="1" applyBorder="1" applyAlignment="1">
      <alignment horizontal="center" vertical="center"/>
    </xf>
    <xf numFmtId="0" fontId="57" fillId="6" borderId="1" xfId="0" applyFont="1" applyFill="1" applyBorder="1" applyAlignment="1">
      <alignment horizontal="center" vertical="center"/>
    </xf>
    <xf numFmtId="0" fontId="58" fillId="4" borderId="1" xfId="0" applyFont="1" applyFill="1" applyBorder="1" applyAlignment="1">
      <alignment horizontal="center" vertical="center"/>
    </xf>
    <xf numFmtId="0" fontId="55" fillId="7" borderId="1" xfId="0" applyFont="1" applyFill="1" applyBorder="1" applyAlignment="1">
      <alignment horizontal="center" vertical="center"/>
    </xf>
    <xf numFmtId="0" fontId="57" fillId="7" borderId="1" xfId="0" applyFont="1" applyFill="1" applyBorder="1" applyAlignment="1">
      <alignment horizontal="center" vertical="center"/>
    </xf>
    <xf numFmtId="0" fontId="57" fillId="3" borderId="7" xfId="0" applyFont="1" applyFill="1" applyBorder="1" applyAlignment="1">
      <alignment horizontal="center" vertical="center"/>
    </xf>
    <xf numFmtId="0" fontId="55" fillId="7" borderId="7" xfId="0" applyFont="1" applyFill="1" applyBorder="1" applyAlignment="1">
      <alignment horizontal="center" vertical="center"/>
    </xf>
    <xf numFmtId="0" fontId="58" fillId="4" borderId="7" xfId="0" applyFont="1" applyFill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7" fillId="6" borderId="7" xfId="0" applyFont="1" applyFill="1" applyBorder="1" applyAlignment="1">
      <alignment horizontal="center" vertical="center"/>
    </xf>
    <xf numFmtId="0" fontId="56" fillId="0" borderId="9" xfId="0" applyFont="1" applyBorder="1" applyAlignment="1">
      <alignment horizontal="center" vertical="center"/>
    </xf>
    <xf numFmtId="0" fontId="55" fillId="8" borderId="1" xfId="0" applyFont="1" applyFill="1" applyBorder="1" applyAlignment="1">
      <alignment horizontal="center" vertical="center"/>
    </xf>
    <xf numFmtId="0" fontId="57" fillId="8" borderId="1" xfId="0" applyFont="1" applyFill="1" applyBorder="1" applyAlignment="1">
      <alignment horizontal="center" vertical="center"/>
    </xf>
    <xf numFmtId="0" fontId="57" fillId="5" borderId="1" xfId="0" applyFont="1" applyFill="1" applyBorder="1" applyAlignment="1">
      <alignment horizontal="center" vertical="center"/>
    </xf>
    <xf numFmtId="0" fontId="57" fillId="3" borderId="3" xfId="0" applyFont="1" applyFill="1" applyBorder="1" applyAlignment="1">
      <alignment horizontal="center" vertical="center"/>
    </xf>
    <xf numFmtId="0" fontId="55" fillId="7" borderId="3" xfId="0" applyFont="1" applyFill="1" applyBorder="1" applyAlignment="1">
      <alignment horizontal="center" vertical="center"/>
    </xf>
    <xf numFmtId="0" fontId="58" fillId="4" borderId="3" xfId="0" applyFont="1" applyFill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57" fillId="6" borderId="3" xfId="0" applyFont="1" applyFill="1" applyBorder="1" applyAlignment="1">
      <alignment horizontal="center" vertical="center"/>
    </xf>
    <xf numFmtId="0" fontId="54" fillId="4" borderId="1" xfId="0" applyFont="1" applyFill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12" borderId="1" xfId="0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56" fillId="10" borderId="1" xfId="0" applyFont="1" applyFill="1" applyBorder="1" applyAlignment="1">
      <alignment horizontal="center" vertical="center"/>
    </xf>
    <xf numFmtId="0" fontId="56" fillId="12" borderId="1" xfId="0" applyFont="1" applyFill="1" applyBorder="1" applyAlignment="1">
      <alignment horizontal="center" vertical="center"/>
    </xf>
    <xf numFmtId="0" fontId="56" fillId="12" borderId="4" xfId="0" applyFont="1" applyFill="1" applyBorder="1" applyAlignment="1">
      <alignment horizontal="center" vertical="center"/>
    </xf>
    <xf numFmtId="0" fontId="56" fillId="4" borderId="4" xfId="0" applyFont="1" applyFill="1" applyBorder="1" applyAlignment="1">
      <alignment horizontal="center" vertical="center"/>
    </xf>
    <xf numFmtId="0" fontId="56" fillId="10" borderId="4" xfId="0" applyFont="1" applyFill="1" applyBorder="1" applyAlignment="1">
      <alignment horizontal="center" vertical="center"/>
    </xf>
    <xf numFmtId="0" fontId="56" fillId="0" borderId="4" xfId="0" applyFont="1" applyBorder="1" applyAlignment="1">
      <alignment horizontal="center" vertical="center"/>
    </xf>
    <xf numFmtId="0" fontId="58" fillId="4" borderId="4" xfId="0" applyFont="1" applyFill="1" applyBorder="1" applyAlignment="1">
      <alignment horizontal="center" vertical="center"/>
    </xf>
    <xf numFmtId="0" fontId="56" fillId="11" borderId="4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59" fillId="0" borderId="25" xfId="0" applyFont="1" applyBorder="1" applyAlignment="1">
      <alignment horizontal="center" vertical="center"/>
    </xf>
    <xf numFmtId="0" fontId="8" fillId="10" borderId="25" xfId="0" applyFont="1" applyFill="1" applyBorder="1" applyAlignment="1">
      <alignment horizontal="center" vertical="center"/>
    </xf>
    <xf numFmtId="0" fontId="8" fillId="12" borderId="25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54" fillId="4" borderId="25" xfId="0" applyFont="1" applyFill="1" applyBorder="1" applyAlignment="1">
      <alignment horizontal="center" vertical="center"/>
    </xf>
    <xf numFmtId="0" fontId="8" fillId="11" borderId="25" xfId="0" applyFont="1" applyFill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25" xfId="0" applyFont="1" applyBorder="1" applyAlignment="1">
      <alignment vertical="center"/>
    </xf>
    <xf numFmtId="2" fontId="50" fillId="0" borderId="30" xfId="0" applyNumberFormat="1" applyFont="1" applyBorder="1"/>
    <xf numFmtId="2" fontId="36" fillId="0" borderId="7" xfId="0" applyNumberFormat="1" applyFont="1" applyBorder="1" applyAlignment="1">
      <alignment horizontal="right" vertical="center"/>
    </xf>
    <xf numFmtId="4" fontId="62" fillId="0" borderId="1" xfId="0" applyNumberFormat="1" applyFont="1" applyBorder="1" applyAlignment="1">
      <alignment horizontal="right"/>
    </xf>
    <xf numFmtId="2" fontId="63" fillId="0" borderId="0" xfId="0" applyNumberFormat="1" applyFont="1"/>
    <xf numFmtId="168" fontId="40" fillId="0" borderId="25" xfId="0" applyNumberFormat="1" applyFont="1" applyBorder="1"/>
    <xf numFmtId="2" fontId="40" fillId="0" borderId="25" xfId="0" applyNumberFormat="1" applyFont="1" applyBorder="1"/>
    <xf numFmtId="0" fontId="40" fillId="0" borderId="25" xfId="0" applyFont="1" applyBorder="1"/>
    <xf numFmtId="0" fontId="40" fillId="0" borderId="25" xfId="0" applyFont="1" applyBorder="1" applyAlignment="1">
      <alignment horizontal="center" vertical="center"/>
    </xf>
    <xf numFmtId="168" fontId="40" fillId="9" borderId="25" xfId="0" applyNumberFormat="1" applyFont="1" applyFill="1" applyBorder="1"/>
    <xf numFmtId="2" fontId="65" fillId="0" borderId="0" xfId="0" applyNumberFormat="1" applyFont="1"/>
    <xf numFmtId="2" fontId="63" fillId="9" borderId="0" xfId="0" applyNumberFormat="1" applyFont="1" applyFill="1"/>
    <xf numFmtId="0" fontId="8" fillId="12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4" fontId="51" fillId="0" borderId="1" xfId="0" applyNumberFormat="1" applyFont="1" applyBorder="1"/>
    <xf numFmtId="4" fontId="36" fillId="0" borderId="7" xfId="0" applyNumberFormat="1" applyFont="1" applyBorder="1"/>
    <xf numFmtId="2" fontId="66" fillId="0" borderId="0" xfId="0" applyNumberFormat="1" applyFont="1"/>
    <xf numFmtId="0" fontId="66" fillId="0" borderId="0" xfId="0" applyFont="1"/>
    <xf numFmtId="168" fontId="50" fillId="0" borderId="29" xfId="0" applyNumberFormat="1" applyFont="1" applyBorder="1"/>
    <xf numFmtId="2" fontId="50" fillId="0" borderId="29" xfId="0" applyNumberFormat="1" applyFont="1" applyBorder="1"/>
    <xf numFmtId="0" fontId="50" fillId="0" borderId="29" xfId="0" applyFont="1" applyBorder="1" applyAlignment="1">
      <alignment horizontal="left"/>
    </xf>
    <xf numFmtId="168" fontId="52" fillId="0" borderId="25" xfId="0" applyNumberFormat="1" applyFont="1" applyBorder="1" applyAlignment="1">
      <alignment horizontal="center"/>
    </xf>
    <xf numFmtId="168" fontId="68" fillId="0" borderId="28" xfId="0" applyNumberFormat="1" applyFont="1" applyBorder="1" applyAlignment="1">
      <alignment horizontal="center"/>
    </xf>
    <xf numFmtId="168" fontId="67" fillId="0" borderId="26" xfId="0" applyNumberFormat="1" applyFont="1" applyBorder="1" applyAlignment="1">
      <alignment horizontal="center"/>
    </xf>
    <xf numFmtId="168" fontId="67" fillId="0" borderId="34" xfId="0" applyNumberFormat="1" applyFont="1" applyBorder="1" applyAlignment="1">
      <alignment horizontal="center"/>
    </xf>
    <xf numFmtId="0" fontId="69" fillId="0" borderId="0" xfId="0" applyFont="1" applyAlignment="1">
      <alignment horizontal="center"/>
    </xf>
    <xf numFmtId="0" fontId="50" fillId="0" borderId="27" xfId="0" quotePrefix="1" applyFont="1" applyBorder="1" applyAlignment="1">
      <alignment horizontal="center" vertical="center"/>
    </xf>
    <xf numFmtId="0" fontId="50" fillId="0" borderId="25" xfId="0" quotePrefix="1" applyFont="1" applyBorder="1" applyAlignment="1">
      <alignment horizontal="center" vertical="center"/>
    </xf>
    <xf numFmtId="168" fontId="40" fillId="0" borderId="0" xfId="0" applyNumberFormat="1" applyFont="1"/>
    <xf numFmtId="2" fontId="40" fillId="0" borderId="0" xfId="0" applyNumberFormat="1" applyFont="1"/>
    <xf numFmtId="0" fontId="40" fillId="0" borderId="0" xfId="0" applyFont="1" applyAlignment="1">
      <alignment horizontal="center" vertical="center"/>
    </xf>
    <xf numFmtId="0" fontId="71" fillId="0" borderId="25" xfId="0" applyFont="1" applyBorder="1"/>
    <xf numFmtId="0" fontId="71" fillId="0" borderId="0" xfId="0" applyFont="1"/>
    <xf numFmtId="0" fontId="0" fillId="22" borderId="0" xfId="0" applyFill="1" applyAlignment="1">
      <alignment horizontal="center"/>
    </xf>
    <xf numFmtId="0" fontId="0" fillId="22" borderId="0" xfId="0" applyFill="1"/>
    <xf numFmtId="0" fontId="0" fillId="22" borderId="0" xfId="0" applyFill="1" applyAlignment="1">
      <alignment horizontal="center" vertical="center"/>
    </xf>
    <xf numFmtId="0" fontId="0" fillId="0" borderId="39" xfId="0" applyBorder="1"/>
    <xf numFmtId="2" fontId="52" fillId="0" borderId="25" xfId="0" applyNumberFormat="1" applyFont="1" applyBorder="1" applyAlignment="1">
      <alignment horizontal="right"/>
    </xf>
    <xf numFmtId="2" fontId="73" fillId="0" borderId="0" xfId="0" applyNumberFormat="1" applyFont="1"/>
    <xf numFmtId="2" fontId="75" fillId="0" borderId="0" xfId="0" applyNumberFormat="1" applyFont="1"/>
    <xf numFmtId="2" fontId="75" fillId="0" borderId="0" xfId="0" applyNumberFormat="1" applyFont="1" applyAlignment="1">
      <alignment horizontal="center" vertical="center"/>
    </xf>
    <xf numFmtId="2" fontId="76" fillId="0" borderId="0" xfId="0" applyNumberFormat="1" applyFont="1"/>
    <xf numFmtId="0" fontId="0" fillId="0" borderId="31" xfId="0" applyBorder="1" applyAlignment="1">
      <alignment horizontal="center" vertical="center"/>
    </xf>
    <xf numFmtId="2" fontId="76" fillId="0" borderId="0" xfId="0" applyNumberFormat="1" applyFont="1" applyAlignment="1">
      <alignment horizontal="center" vertical="center"/>
    </xf>
    <xf numFmtId="0" fontId="0" fillId="0" borderId="40" xfId="0" applyBorder="1"/>
    <xf numFmtId="2" fontId="74" fillId="0" borderId="0" xfId="0" applyNumberFormat="1" applyFont="1"/>
    <xf numFmtId="0" fontId="77" fillId="0" borderId="0" xfId="0" applyFont="1" applyAlignment="1">
      <alignment horizontal="center" vertical="center"/>
    </xf>
    <xf numFmtId="2" fontId="69" fillId="0" borderId="25" xfId="0" applyNumberFormat="1" applyFont="1" applyBorder="1" applyAlignment="1">
      <alignment horizontal="center" vertical="center"/>
    </xf>
    <xf numFmtId="2" fontId="69" fillId="0" borderId="0" xfId="0" applyNumberFormat="1" applyFont="1" applyAlignment="1">
      <alignment horizontal="center" vertical="center"/>
    </xf>
    <xf numFmtId="2" fontId="66" fillId="0" borderId="0" xfId="0" applyNumberFormat="1" applyFont="1" applyAlignment="1">
      <alignment horizontal="center" vertical="center"/>
    </xf>
    <xf numFmtId="2" fontId="66" fillId="0" borderId="0" xfId="0" applyNumberFormat="1" applyFont="1" applyAlignment="1">
      <alignment horizontal="center" vertical="center" wrapText="1"/>
    </xf>
    <xf numFmtId="2" fontId="79" fillId="0" borderId="0" xfId="0" applyNumberFormat="1" applyFont="1"/>
    <xf numFmtId="2" fontId="0" fillId="0" borderId="26" xfId="0" applyNumberFormat="1" applyBorder="1"/>
    <xf numFmtId="2" fontId="0" fillId="0" borderId="31" xfId="0" applyNumberFormat="1" applyBorder="1"/>
    <xf numFmtId="0" fontId="0" fillId="0" borderId="28" xfId="0" quotePrefix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/>
    <xf numFmtId="0" fontId="0" fillId="0" borderId="37" xfId="0" applyBorder="1"/>
    <xf numFmtId="2" fontId="36" fillId="0" borderId="16" xfId="0" quotePrefix="1" applyNumberFormat="1" applyFont="1" applyBorder="1" applyAlignment="1">
      <alignment horizontal="center" vertical="center"/>
    </xf>
    <xf numFmtId="2" fontId="51" fillId="0" borderId="16" xfId="0" quotePrefix="1" applyNumberFormat="1" applyFont="1" applyBorder="1" applyAlignment="1">
      <alignment horizontal="center" vertical="center"/>
    </xf>
    <xf numFmtId="0" fontId="80" fillId="0" borderId="0" xfId="0" applyFont="1"/>
    <xf numFmtId="2" fontId="79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/>
    </xf>
    <xf numFmtId="168" fontId="54" fillId="0" borderId="0" xfId="0" applyNumberFormat="1" applyFont="1"/>
    <xf numFmtId="0" fontId="54" fillId="0" borderId="0" xfId="0" applyFont="1" applyAlignment="1">
      <alignment horizontal="right" vertical="center"/>
    </xf>
    <xf numFmtId="0" fontId="54" fillId="0" borderId="0" xfId="0" applyFont="1" applyAlignment="1">
      <alignment horizontal="center" vertical="center"/>
    </xf>
    <xf numFmtId="2" fontId="70" fillId="0" borderId="0" xfId="0" applyNumberFormat="1" applyFont="1" applyAlignment="1">
      <alignment horizontal="center" vertical="center"/>
    </xf>
    <xf numFmtId="168" fontId="54" fillId="0" borderId="25" xfId="0" applyNumberFormat="1" applyFont="1" applyBorder="1"/>
    <xf numFmtId="0" fontId="54" fillId="0" borderId="25" xfId="0" applyFont="1" applyBorder="1" applyAlignment="1">
      <alignment horizontal="left" vertical="center"/>
    </xf>
    <xf numFmtId="0" fontId="54" fillId="0" borderId="25" xfId="0" applyFont="1" applyBorder="1"/>
    <xf numFmtId="2" fontId="54" fillId="0" borderId="25" xfId="0" applyNumberFormat="1" applyFont="1" applyBorder="1"/>
    <xf numFmtId="2" fontId="54" fillId="0" borderId="25" xfId="0" applyNumberFormat="1" applyFont="1" applyBorder="1" applyAlignment="1">
      <alignment horizontal="center" vertical="center"/>
    </xf>
    <xf numFmtId="168" fontId="54" fillId="0" borderId="29" xfId="0" applyNumberFormat="1" applyFont="1" applyBorder="1"/>
    <xf numFmtId="0" fontId="54" fillId="0" borderId="29" xfId="0" applyFont="1" applyBorder="1"/>
    <xf numFmtId="0" fontId="54" fillId="0" borderId="29" xfId="0" applyFont="1" applyBorder="1" applyAlignment="1">
      <alignment horizontal="center" vertical="center"/>
    </xf>
    <xf numFmtId="0" fontId="54" fillId="0" borderId="39" xfId="0" applyFont="1" applyBorder="1"/>
    <xf numFmtId="0" fontId="54" fillId="0" borderId="40" xfId="0" applyFont="1" applyBorder="1"/>
    <xf numFmtId="0" fontId="54" fillId="0" borderId="25" xfId="0" quotePrefix="1" applyFont="1" applyBorder="1"/>
    <xf numFmtId="0" fontId="54" fillId="0" borderId="28" xfId="0" quotePrefix="1" applyFont="1" applyBorder="1" applyAlignment="1">
      <alignment horizontal="center" vertical="center"/>
    </xf>
    <xf numFmtId="4" fontId="54" fillId="0" borderId="25" xfId="0" applyNumberFormat="1" applyFont="1" applyBorder="1"/>
    <xf numFmtId="0" fontId="54" fillId="0" borderId="34" xfId="0" applyFont="1" applyBorder="1"/>
    <xf numFmtId="0" fontId="54" fillId="0" borderId="40" xfId="0" applyFont="1" applyBorder="1" applyAlignment="1">
      <alignment horizontal="center" vertical="center"/>
    </xf>
    <xf numFmtId="0" fontId="54" fillId="0" borderId="37" xfId="0" applyFont="1" applyBorder="1"/>
    <xf numFmtId="168" fontId="54" fillId="0" borderId="27" xfId="0" applyNumberFormat="1" applyFont="1" applyBorder="1"/>
    <xf numFmtId="168" fontId="54" fillId="0" borderId="30" xfId="0" applyNumberFormat="1" applyFont="1" applyBorder="1"/>
    <xf numFmtId="0" fontId="54" fillId="0" borderId="27" xfId="0" applyFont="1" applyBorder="1"/>
    <xf numFmtId="0" fontId="54" fillId="0" borderId="31" xfId="0" applyFont="1" applyBorder="1" applyAlignment="1">
      <alignment horizontal="center" vertical="center"/>
    </xf>
    <xf numFmtId="0" fontId="54" fillId="0" borderId="30" xfId="0" applyFont="1" applyBorder="1"/>
    <xf numFmtId="0" fontId="54" fillId="0" borderId="27" xfId="0" applyFont="1" applyBorder="1" applyAlignment="1">
      <alignment horizontal="center" vertical="center"/>
    </xf>
    <xf numFmtId="2" fontId="54" fillId="0" borderId="27" xfId="0" applyNumberFormat="1" applyFont="1" applyBorder="1"/>
    <xf numFmtId="2" fontId="54" fillId="0" borderId="0" xfId="0" applyNumberFormat="1" applyFont="1"/>
    <xf numFmtId="2" fontId="77" fillId="0" borderId="0" xfId="0" applyNumberFormat="1" applyFont="1" applyAlignment="1">
      <alignment horizontal="center" vertical="center"/>
    </xf>
    <xf numFmtId="0" fontId="82" fillId="9" borderId="25" xfId="0" applyFont="1" applyFill="1" applyBorder="1" applyAlignment="1">
      <alignment horizontal="center" vertical="center"/>
    </xf>
    <xf numFmtId="2" fontId="82" fillId="9" borderId="25" xfId="0" applyNumberFormat="1" applyFont="1" applyFill="1" applyBorder="1"/>
    <xf numFmtId="0" fontId="83" fillId="9" borderId="25" xfId="0" applyFont="1" applyFill="1" applyBorder="1"/>
    <xf numFmtId="0" fontId="0" fillId="0" borderId="25" xfId="0" applyBorder="1" applyAlignment="1">
      <alignment horizontal="left"/>
    </xf>
    <xf numFmtId="0" fontId="54" fillId="0" borderId="25" xfId="0" quotePrefix="1" applyFont="1" applyBorder="1" applyAlignment="1">
      <alignment horizontal="center" vertical="center"/>
    </xf>
    <xf numFmtId="2" fontId="54" fillId="0" borderId="29" xfId="0" applyNumberFormat="1" applyFont="1" applyBorder="1" applyAlignment="1">
      <alignment horizontal="center" vertical="center"/>
    </xf>
    <xf numFmtId="2" fontId="36" fillId="9" borderId="25" xfId="0" quotePrefix="1" applyNumberFormat="1" applyFont="1" applyFill="1" applyBorder="1" applyAlignment="1">
      <alignment horizontal="right" vertical="center"/>
    </xf>
    <xf numFmtId="2" fontId="54" fillId="0" borderId="27" xfId="0" applyNumberFormat="1" applyFont="1" applyBorder="1" applyAlignment="1">
      <alignment horizontal="center" vertical="center"/>
    </xf>
    <xf numFmtId="4" fontId="36" fillId="0" borderId="9" xfId="0" applyNumberFormat="1" applyFont="1" applyBorder="1" applyAlignment="1">
      <alignment horizontal="right"/>
    </xf>
    <xf numFmtId="2" fontId="51" fillId="9" borderId="28" xfId="0" quotePrefix="1" applyNumberFormat="1" applyFont="1" applyFill="1" applyBorder="1" applyAlignment="1">
      <alignment vertical="center"/>
    </xf>
    <xf numFmtId="2" fontId="45" fillId="0" borderId="25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4" fontId="45" fillId="0" borderId="25" xfId="0" applyNumberFormat="1" applyFont="1" applyBorder="1"/>
    <xf numFmtId="2" fontId="49" fillId="0" borderId="25" xfId="0" applyNumberFormat="1" applyFont="1" applyBorder="1"/>
    <xf numFmtId="4" fontId="45" fillId="0" borderId="25" xfId="0" quotePrefix="1" applyNumberFormat="1" applyFont="1" applyBorder="1"/>
    <xf numFmtId="0" fontId="20" fillId="0" borderId="25" xfId="0" quotePrefix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4" fontId="20" fillId="0" borderId="25" xfId="0" applyNumberFormat="1" applyFont="1" applyBorder="1"/>
    <xf numFmtId="2" fontId="20" fillId="0" borderId="25" xfId="0" applyNumberFormat="1" applyFont="1" applyBorder="1" applyAlignment="1">
      <alignment horizontal="right"/>
    </xf>
    <xf numFmtId="2" fontId="40" fillId="9" borderId="25" xfId="0" applyNumberFormat="1" applyFont="1" applyFill="1" applyBorder="1"/>
    <xf numFmtId="0" fontId="50" fillId="0" borderId="29" xfId="0" applyFont="1" applyBorder="1"/>
    <xf numFmtId="2" fontId="84" fillId="0" borderId="0" xfId="0" applyNumberFormat="1" applyFont="1"/>
    <xf numFmtId="0" fontId="85" fillId="0" borderId="0" xfId="0" applyFont="1" applyAlignment="1">
      <alignment horizontal="center"/>
    </xf>
    <xf numFmtId="168" fontId="85" fillId="0" borderId="0" xfId="0" applyNumberFormat="1" applyFont="1"/>
    <xf numFmtId="0" fontId="85" fillId="0" borderId="0" xfId="0" applyFont="1" applyAlignment="1">
      <alignment horizontal="center" vertical="center"/>
    </xf>
    <xf numFmtId="2" fontId="86" fillId="0" borderId="0" xfId="0" applyNumberFormat="1" applyFont="1"/>
    <xf numFmtId="0" fontId="85" fillId="0" borderId="0" xfId="0" applyFont="1"/>
    <xf numFmtId="0" fontId="86" fillId="0" borderId="0" xfId="0" applyFont="1" applyAlignment="1">
      <alignment horizontal="center" vertical="center"/>
    </xf>
    <xf numFmtId="168" fontId="77" fillId="0" borderId="0" xfId="0" quotePrefix="1" applyNumberFormat="1" applyFont="1" applyAlignment="1">
      <alignment horizontal="center" vertical="center"/>
    </xf>
    <xf numFmtId="0" fontId="50" fillId="0" borderId="27" xfId="0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25" xfId="0" applyFont="1" applyBorder="1"/>
    <xf numFmtId="2" fontId="6" fillId="0" borderId="25" xfId="0" applyNumberFormat="1" applyFont="1" applyBorder="1"/>
    <xf numFmtId="4" fontId="6" fillId="0" borderId="25" xfId="0" applyNumberFormat="1" applyFont="1" applyBorder="1"/>
    <xf numFmtId="2" fontId="6" fillId="0" borderId="25" xfId="0" applyNumberFormat="1" applyFont="1" applyBorder="1" applyAlignment="1">
      <alignment horizontal="right"/>
    </xf>
    <xf numFmtId="4" fontId="6" fillId="0" borderId="25" xfId="0" applyNumberFormat="1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4" xfId="0" applyFont="1" applyBorder="1"/>
    <xf numFmtId="2" fontId="6" fillId="0" borderId="14" xfId="0" applyNumberFormat="1" applyFont="1" applyBorder="1"/>
    <xf numFmtId="2" fontId="6" fillId="0" borderId="14" xfId="0" applyNumberFormat="1" applyFont="1" applyBorder="1" applyAlignment="1">
      <alignment horizontal="right"/>
    </xf>
    <xf numFmtId="0" fontId="50" fillId="9" borderId="27" xfId="0" applyFont="1" applyFill="1" applyBorder="1" applyAlignment="1">
      <alignment vertical="center"/>
    </xf>
    <xf numFmtId="0" fontId="50" fillId="0" borderId="27" xfId="0" applyFont="1" applyBorder="1" applyAlignment="1">
      <alignment vertical="center"/>
    </xf>
    <xf numFmtId="0" fontId="0" fillId="9" borderId="27" xfId="0" applyFill="1" applyBorder="1" applyAlignment="1">
      <alignment vertical="center"/>
    </xf>
    <xf numFmtId="2" fontId="0" fillId="0" borderId="25" xfId="0" quotePrefix="1" applyNumberFormat="1" applyBorder="1" applyAlignment="1">
      <alignment horizontal="center" vertical="center"/>
    </xf>
    <xf numFmtId="0" fontId="0" fillId="9" borderId="0" xfId="0" applyFill="1"/>
    <xf numFmtId="0" fontId="0" fillId="0" borderId="27" xfId="0" applyBorder="1" applyAlignment="1">
      <alignment vertical="center"/>
    </xf>
    <xf numFmtId="2" fontId="0" fillId="9" borderId="25" xfId="0" quotePrefix="1" applyNumberFormat="1" applyFill="1" applyBorder="1" applyAlignment="1">
      <alignment vertical="center"/>
    </xf>
    <xf numFmtId="2" fontId="0" fillId="0" borderId="25" xfId="0" quotePrefix="1" applyNumberFormat="1" applyBorder="1" applyAlignment="1">
      <alignment vertical="center"/>
    </xf>
    <xf numFmtId="0" fontId="50" fillId="0" borderId="25" xfId="0" quotePrefix="1" applyFont="1" applyBorder="1" applyAlignment="1">
      <alignment horizontal="center"/>
    </xf>
    <xf numFmtId="0" fontId="51" fillId="0" borderId="25" xfId="0" applyFont="1" applyBorder="1"/>
    <xf numFmtId="0" fontId="50" fillId="0" borderId="7" xfId="0" quotePrefix="1" applyFont="1" applyBorder="1" applyAlignment="1">
      <alignment horizontal="center"/>
    </xf>
    <xf numFmtId="0" fontId="50" fillId="0" borderId="7" xfId="0" applyFont="1" applyBorder="1"/>
    <xf numFmtId="4" fontId="50" fillId="0" borderId="7" xfId="0" applyNumberFormat="1" applyFont="1" applyBorder="1"/>
    <xf numFmtId="4" fontId="51" fillId="0" borderId="7" xfId="0" applyNumberFormat="1" applyFont="1" applyBorder="1" applyAlignment="1">
      <alignment horizontal="right"/>
    </xf>
    <xf numFmtId="4" fontId="51" fillId="0" borderId="7" xfId="0" applyNumberFormat="1" applyFont="1" applyBorder="1"/>
    <xf numFmtId="2" fontId="51" fillId="0" borderId="7" xfId="0" applyNumberFormat="1" applyFont="1" applyBorder="1" applyAlignment="1">
      <alignment horizontal="right" vertical="center"/>
    </xf>
    <xf numFmtId="2" fontId="50" fillId="0" borderId="1" xfId="0" applyNumberFormat="1" applyFont="1" applyBorder="1" applyAlignment="1">
      <alignment horizontal="right" vertical="center"/>
    </xf>
    <xf numFmtId="0" fontId="54" fillId="0" borderId="25" xfId="0" applyFont="1" applyBorder="1" applyAlignment="1">
      <alignment horizontal="center"/>
    </xf>
    <xf numFmtId="168" fontId="54" fillId="0" borderId="39" xfId="0" applyNumberFormat="1" applyFont="1" applyBorder="1"/>
    <xf numFmtId="2" fontId="50" fillId="0" borderId="25" xfId="0" quotePrefix="1" applyNumberFormat="1" applyFont="1" applyBorder="1"/>
    <xf numFmtId="167" fontId="0" fillId="0" borderId="0" xfId="0" applyNumberFormat="1" applyAlignment="1">
      <alignment horizontal="center" vertical="center"/>
    </xf>
    <xf numFmtId="0" fontId="37" fillId="0" borderId="25" xfId="0" quotePrefix="1" applyFont="1" applyBorder="1" applyAlignment="1">
      <alignment horizontal="center" vertical="center"/>
    </xf>
    <xf numFmtId="2" fontId="0" fillId="0" borderId="6" xfId="0" quotePrefix="1" applyNumberFormat="1" applyBorder="1" applyAlignment="1">
      <alignment horizontal="right" vertical="center"/>
    </xf>
    <xf numFmtId="2" fontId="36" fillId="0" borderId="7" xfId="0" applyNumberFormat="1" applyFont="1" applyBorder="1"/>
    <xf numFmtId="2" fontId="0" fillId="0" borderId="3" xfId="0" quotePrefix="1" applyNumberFormat="1" applyBorder="1" applyAlignment="1">
      <alignment horizontal="center" vertical="center"/>
    </xf>
    <xf numFmtId="0" fontId="50" fillId="0" borderId="0" xfId="0" quotePrefix="1" applyFont="1" applyAlignment="1">
      <alignment horizontal="center"/>
    </xf>
    <xf numFmtId="2" fontId="50" fillId="0" borderId="0" xfId="0" applyNumberFormat="1" applyFont="1" applyAlignment="1">
      <alignment horizontal="right" vertical="center"/>
    </xf>
    <xf numFmtId="0" fontId="40" fillId="0" borderId="9" xfId="0" applyFont="1" applyBorder="1" applyAlignment="1">
      <alignment horizontal="left"/>
    </xf>
    <xf numFmtId="0" fontId="50" fillId="0" borderId="9" xfId="0" applyFont="1" applyBorder="1" applyAlignment="1">
      <alignment horizontal="left"/>
    </xf>
    <xf numFmtId="2" fontId="40" fillId="0" borderId="2" xfId="0" applyNumberFormat="1" applyFont="1" applyBorder="1"/>
    <xf numFmtId="2" fontId="50" fillId="0" borderId="2" xfId="0" applyNumberFormat="1" applyFont="1" applyBorder="1"/>
    <xf numFmtId="4" fontId="37" fillId="0" borderId="0" xfId="0" applyNumberFormat="1" applyFont="1"/>
    <xf numFmtId="0" fontId="0" fillId="9" borderId="25" xfId="0" applyFill="1" applyBorder="1"/>
    <xf numFmtId="0" fontId="0" fillId="0" borderId="30" xfId="0" applyBorder="1" applyAlignment="1">
      <alignment vertical="center"/>
    </xf>
    <xf numFmtId="0" fontId="0" fillId="9" borderId="40" xfId="0" applyFill="1" applyBorder="1" applyAlignment="1">
      <alignment horizontal="center" vertical="center"/>
    </xf>
    <xf numFmtId="2" fontId="0" fillId="9" borderId="28" xfId="0" quotePrefix="1" applyNumberFormat="1" applyFill="1" applyBorder="1" applyAlignment="1">
      <alignment horizontal="center" vertical="center"/>
    </xf>
    <xf numFmtId="2" fontId="0" fillId="9" borderId="26" xfId="0" quotePrefix="1" applyNumberFormat="1" applyFill="1" applyBorder="1" applyAlignment="1">
      <alignment vertical="center"/>
    </xf>
    <xf numFmtId="2" fontId="0" fillId="9" borderId="0" xfId="0" applyNumberFormat="1" applyFill="1"/>
    <xf numFmtId="2" fontId="0" fillId="0" borderId="9" xfId="0" applyNumberFormat="1" applyBorder="1" applyAlignment="1">
      <alignment horizontal="right"/>
    </xf>
    <xf numFmtId="2" fontId="50" fillId="0" borderId="9" xfId="0" applyNumberFormat="1" applyFont="1" applyBorder="1" applyAlignment="1">
      <alignment horizontal="right"/>
    </xf>
    <xf numFmtId="4" fontId="40" fillId="0" borderId="25" xfId="0" applyNumberFormat="1" applyFont="1" applyBorder="1"/>
    <xf numFmtId="2" fontId="88" fillId="0" borderId="25" xfId="0" applyNumberFormat="1" applyFont="1" applyBorder="1" applyAlignment="1">
      <alignment horizontal="right"/>
    </xf>
    <xf numFmtId="4" fontId="40" fillId="0" borderId="25" xfId="0" applyNumberFormat="1" applyFont="1" applyBorder="1" applyAlignment="1">
      <alignment horizontal="right"/>
    </xf>
    <xf numFmtId="0" fontId="50" fillId="0" borderId="25" xfId="0" applyFont="1" applyBorder="1" applyAlignment="1">
      <alignment horizontal="left"/>
    </xf>
    <xf numFmtId="4" fontId="50" fillId="0" borderId="25" xfId="0" applyNumberFormat="1" applyFont="1" applyBorder="1" applyAlignment="1">
      <alignment horizontal="right"/>
    </xf>
    <xf numFmtId="0" fontId="40" fillId="0" borderId="9" xfId="0" quotePrefix="1" applyFont="1" applyBorder="1" applyAlignment="1">
      <alignment horizontal="center"/>
    </xf>
    <xf numFmtId="0" fontId="50" fillId="0" borderId="9" xfId="0" quotePrefix="1" applyFont="1" applyBorder="1" applyAlignment="1">
      <alignment horizontal="center"/>
    </xf>
    <xf numFmtId="2" fontId="51" fillId="9" borderId="25" xfId="0" quotePrefix="1" applyNumberFormat="1" applyFont="1" applyFill="1" applyBorder="1" applyAlignment="1">
      <alignment horizontal="right" vertical="center"/>
    </xf>
    <xf numFmtId="2" fontId="40" fillId="9" borderId="0" xfId="0" quotePrefix="1" applyNumberFormat="1" applyFont="1" applyFill="1" applyAlignment="1">
      <alignment horizontal="center" vertical="center"/>
    </xf>
    <xf numFmtId="2" fontId="40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2" fontId="36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2" fontId="36" fillId="0" borderId="25" xfId="0" applyNumberFormat="1" applyFont="1" applyBorder="1" applyAlignment="1">
      <alignment horizontal="right" vertical="center"/>
    </xf>
    <xf numFmtId="21" fontId="0" fillId="0" borderId="0" xfId="0" applyNumberFormat="1"/>
    <xf numFmtId="168" fontId="50" fillId="0" borderId="29" xfId="0" applyNumberFormat="1" applyFont="1" applyBorder="1" applyAlignment="1">
      <alignment horizontal="center"/>
    </xf>
    <xf numFmtId="2" fontId="50" fillId="0" borderId="29" xfId="0" quotePrefix="1" applyNumberFormat="1" applyFont="1" applyBorder="1" applyAlignment="1">
      <alignment horizontal="center"/>
    </xf>
    <xf numFmtId="168" fontId="50" fillId="0" borderId="25" xfId="0" applyNumberFormat="1" applyFont="1" applyBorder="1" applyAlignment="1">
      <alignment horizontal="center"/>
    </xf>
    <xf numFmtId="2" fontId="50" fillId="0" borderId="25" xfId="0" quotePrefix="1" applyNumberFormat="1" applyFont="1" applyBorder="1" applyAlignment="1">
      <alignment horizontal="center"/>
    </xf>
    <xf numFmtId="2" fontId="50" fillId="0" borderId="25" xfId="0" applyNumberFormat="1" applyFont="1" applyBorder="1" applyAlignment="1">
      <alignment horizontal="center"/>
    </xf>
    <xf numFmtId="168" fontId="0" fillId="0" borderId="25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36" fillId="9" borderId="25" xfId="0" applyNumberFormat="1" applyFont="1" applyFill="1" applyBorder="1"/>
    <xf numFmtId="2" fontId="51" fillId="9" borderId="25" xfId="0" applyNumberFormat="1" applyFont="1" applyFill="1" applyBorder="1"/>
    <xf numFmtId="2" fontId="51" fillId="0" borderId="25" xfId="0" quotePrefix="1" applyNumberFormat="1" applyFont="1" applyBorder="1" applyAlignment="1">
      <alignment vertical="center"/>
    </xf>
    <xf numFmtId="2" fontId="36" fillId="0" borderId="25" xfId="0" quotePrefix="1" applyNumberFormat="1" applyFont="1" applyBorder="1" applyAlignment="1">
      <alignment vertical="center"/>
    </xf>
    <xf numFmtId="0" fontId="90" fillId="0" borderId="0" xfId="0" applyFont="1" applyAlignment="1">
      <alignment horizontal="center"/>
    </xf>
    <xf numFmtId="168" fontId="90" fillId="0" borderId="25" xfId="0" applyNumberFormat="1" applyFont="1" applyBorder="1" applyAlignment="1">
      <alignment horizontal="center" vertical="center"/>
    </xf>
    <xf numFmtId="168" fontId="90" fillId="0" borderId="25" xfId="0" applyNumberFormat="1" applyFont="1" applyBorder="1" applyAlignment="1">
      <alignment horizontal="left" vertical="top"/>
    </xf>
    <xf numFmtId="2" fontId="90" fillId="0" borderId="25" xfId="0" applyNumberFormat="1" applyFont="1" applyBorder="1" applyAlignment="1">
      <alignment horizontal="right" vertical="center"/>
    </xf>
    <xf numFmtId="2" fontId="90" fillId="0" borderId="25" xfId="0" applyNumberFormat="1" applyFont="1" applyBorder="1" applyAlignment="1">
      <alignment horizontal="center" vertical="center"/>
    </xf>
    <xf numFmtId="2" fontId="91" fillId="0" borderId="25" xfId="0" applyNumberFormat="1" applyFont="1" applyBorder="1"/>
    <xf numFmtId="2" fontId="37" fillId="0" borderId="0" xfId="0" applyNumberFormat="1" applyFont="1"/>
    <xf numFmtId="2" fontId="54" fillId="0" borderId="25" xfId="0" applyNumberFormat="1" applyFont="1" applyBorder="1" applyAlignment="1">
      <alignment horizontal="right" vertical="center"/>
    </xf>
    <xf numFmtId="2" fontId="54" fillId="0" borderId="29" xfId="0" applyNumberFormat="1" applyFont="1" applyBorder="1" applyAlignment="1">
      <alignment horizontal="right" vertical="center"/>
    </xf>
    <xf numFmtId="2" fontId="54" fillId="0" borderId="27" xfId="0" applyNumberFormat="1" applyFont="1" applyBorder="1" applyAlignment="1">
      <alignment horizontal="right" vertical="center"/>
    </xf>
    <xf numFmtId="0" fontId="57" fillId="12" borderId="25" xfId="0" applyFont="1" applyFill="1" applyBorder="1" applyAlignment="1">
      <alignment horizontal="center" vertical="center"/>
    </xf>
    <xf numFmtId="0" fontId="92" fillId="12" borderId="25" xfId="0" applyFont="1" applyFill="1" applyBorder="1" applyAlignment="1">
      <alignment horizontal="center" vertical="center"/>
    </xf>
    <xf numFmtId="0" fontId="56" fillId="0" borderId="25" xfId="0" applyFont="1" applyBorder="1" applyAlignment="1">
      <alignment horizontal="center" vertical="center"/>
    </xf>
    <xf numFmtId="0" fontId="57" fillId="3" borderId="25" xfId="0" applyFont="1" applyFill="1" applyBorder="1" applyAlignment="1">
      <alignment horizontal="center" vertical="center"/>
    </xf>
    <xf numFmtId="0" fontId="57" fillId="6" borderId="25" xfId="0" applyFont="1" applyFill="1" applyBorder="1" applyAlignment="1">
      <alignment horizontal="center" vertical="center"/>
    </xf>
    <xf numFmtId="0" fontId="92" fillId="11" borderId="25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93" fillId="11" borderId="25" xfId="0" applyFont="1" applyFill="1" applyBorder="1" applyAlignment="1">
      <alignment horizontal="center" vertical="center"/>
    </xf>
    <xf numFmtId="0" fontId="58" fillId="0" borderId="25" xfId="0" applyFont="1" applyBorder="1" applyAlignment="1">
      <alignment horizontal="center" vertical="center"/>
    </xf>
    <xf numFmtId="0" fontId="57" fillId="10" borderId="25" xfId="0" applyFont="1" applyFill="1" applyBorder="1" applyAlignment="1">
      <alignment horizontal="center" vertical="center"/>
    </xf>
    <xf numFmtId="0" fontId="57" fillId="11" borderId="25" xfId="0" applyFont="1" applyFill="1" applyBorder="1" applyAlignment="1">
      <alignment horizontal="center" vertical="center"/>
    </xf>
    <xf numFmtId="0" fontId="64" fillId="0" borderId="25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0" borderId="25" xfId="0" applyFont="1" applyBorder="1" applyAlignment="1">
      <alignment horizontal="center" vertical="center"/>
    </xf>
    <xf numFmtId="14" fontId="0" fillId="0" borderId="0" xfId="0" quotePrefix="1" applyNumberFormat="1"/>
    <xf numFmtId="0" fontId="57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168" fontId="52" fillId="0" borderId="25" xfId="0" applyNumberFormat="1" applyFont="1" applyBorder="1" applyAlignment="1">
      <alignment horizontal="center" vertical="center"/>
    </xf>
    <xf numFmtId="168" fontId="50" fillId="0" borderId="25" xfId="0" applyNumberFormat="1" applyFont="1" applyBorder="1" applyAlignment="1">
      <alignment horizontal="center" vertical="center"/>
    </xf>
    <xf numFmtId="168" fontId="50" fillId="0" borderId="27" xfId="0" applyNumberFormat="1" applyFont="1" applyBorder="1" applyAlignment="1">
      <alignment horizontal="center" vertical="center"/>
    </xf>
    <xf numFmtId="168" fontId="0" fillId="0" borderId="27" xfId="0" applyNumberFormat="1" applyBorder="1" applyAlignment="1">
      <alignment horizontal="center" vertical="center"/>
    </xf>
    <xf numFmtId="4" fontId="88" fillId="0" borderId="25" xfId="0" applyNumberFormat="1" applyFont="1" applyBorder="1" applyAlignment="1">
      <alignment horizontal="right"/>
    </xf>
    <xf numFmtId="4" fontId="51" fillId="0" borderId="25" xfId="0" applyNumberFormat="1" applyFont="1" applyBorder="1" applyAlignment="1">
      <alignment horizontal="right"/>
    </xf>
    <xf numFmtId="168" fontId="0" fillId="0" borderId="39" xfId="0" applyNumberFormat="1" applyBorder="1"/>
    <xf numFmtId="0" fontId="50" fillId="0" borderId="27" xfId="0" quotePrefix="1" applyFont="1" applyBorder="1" applyAlignment="1">
      <alignment horizontal="center"/>
    </xf>
    <xf numFmtId="4" fontId="50" fillId="0" borderId="27" xfId="0" applyNumberFormat="1" applyFont="1" applyBorder="1"/>
    <xf numFmtId="2" fontId="50" fillId="0" borderId="27" xfId="0" applyNumberFormat="1" applyFont="1" applyBorder="1" applyAlignment="1">
      <alignment horizontal="right"/>
    </xf>
    <xf numFmtId="2" fontId="51" fillId="0" borderId="27" xfId="0" applyNumberFormat="1" applyFont="1" applyBorder="1" applyAlignment="1">
      <alignment horizontal="right"/>
    </xf>
    <xf numFmtId="2" fontId="50" fillId="0" borderId="7" xfId="0" applyNumberFormat="1" applyFont="1" applyBorder="1" applyAlignment="1">
      <alignment horizontal="right" vertical="center"/>
    </xf>
    <xf numFmtId="2" fontId="94" fillId="0" borderId="0" xfId="0" applyNumberFormat="1" applyFont="1"/>
    <xf numFmtId="2" fontId="50" fillId="0" borderId="26" xfId="0" applyNumberFormat="1" applyFont="1" applyBorder="1"/>
    <xf numFmtId="2" fontId="50" fillId="0" borderId="31" xfId="0" applyNumberFormat="1" applyFont="1" applyBorder="1"/>
    <xf numFmtId="2" fontId="51" fillId="0" borderId="25" xfId="0" quotePrefix="1" applyNumberFormat="1" applyFont="1" applyBorder="1" applyAlignment="1">
      <alignment horizontal="right" vertical="center"/>
    </xf>
    <xf numFmtId="2" fontId="95" fillId="0" borderId="0" xfId="0" applyNumberFormat="1" applyFont="1"/>
    <xf numFmtId="4" fontId="32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4" fillId="0" borderId="27" xfId="0" applyFont="1" applyBorder="1" applyAlignment="1">
      <alignment horizontal="left" vertical="center"/>
    </xf>
    <xf numFmtId="2" fontId="54" fillId="0" borderId="26" xfId="0" applyNumberFormat="1" applyFont="1" applyBorder="1" applyAlignment="1">
      <alignment horizontal="right" vertical="center"/>
    </xf>
    <xf numFmtId="0" fontId="35" fillId="0" borderId="0" xfId="1" applyAlignment="1">
      <alignment wrapText="1"/>
    </xf>
    <xf numFmtId="2" fontId="96" fillId="0" borderId="0" xfId="0" applyNumberFormat="1" applyFont="1" applyAlignment="1">
      <alignment horizontal="center" vertical="center"/>
    </xf>
    <xf numFmtId="4" fontId="36" fillId="0" borderId="25" xfId="0" applyNumberFormat="1" applyFont="1" applyBorder="1" applyAlignment="1">
      <alignment horizontal="right"/>
    </xf>
    <xf numFmtId="4" fontId="36" fillId="0" borderId="25" xfId="0" applyNumberFormat="1" applyFont="1" applyBorder="1"/>
    <xf numFmtId="2" fontId="0" fillId="0" borderId="25" xfId="0" applyNumberFormat="1" applyFon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2" fontId="0" fillId="0" borderId="33" xfId="0" quotePrefix="1" applyNumberForma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68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2" fontId="0" fillId="0" borderId="25" xfId="0" applyNumberFormat="1" applyBorder="1" applyAlignment="1">
      <alignment horizontal="right" vertical="center"/>
    </xf>
    <xf numFmtId="16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5" fillId="0" borderId="0" xfId="0" quotePrefix="1" applyFont="1" applyAlignment="1">
      <alignment horizontal="center"/>
    </xf>
    <xf numFmtId="0" fontId="50" fillId="9" borderId="29" xfId="0" applyFont="1" applyFill="1" applyBorder="1" applyAlignment="1">
      <alignment horizontal="center" vertical="center"/>
    </xf>
    <xf numFmtId="0" fontId="20" fillId="0" borderId="2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0" fillId="9" borderId="29" xfId="0" applyFill="1" applyBorder="1" applyAlignment="1">
      <alignment horizontal="center" vertical="center"/>
    </xf>
    <xf numFmtId="0" fontId="20" fillId="0" borderId="0" xfId="0" quotePrefix="1" applyFont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4" xfId="0" quotePrefix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45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71" fillId="0" borderId="0" xfId="0" applyFont="1" applyAlignment="1">
      <alignment horizontal="center" vertical="center"/>
    </xf>
    <xf numFmtId="0" fontId="64" fillId="0" borderId="0" xfId="0" applyFont="1" applyAlignment="1">
      <alignment horizontal="center"/>
    </xf>
    <xf numFmtId="0" fontId="0" fillId="0" borderId="25" xfId="0" applyBorder="1" applyAlignment="1">
      <alignment horizontal="right"/>
    </xf>
    <xf numFmtId="2" fontId="1" fillId="0" borderId="25" xfId="0" applyNumberFormat="1" applyFont="1" applyBorder="1" applyAlignment="1">
      <alignment horizontal="right" vertical="center"/>
    </xf>
    <xf numFmtId="168" fontId="1" fillId="0" borderId="25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16" fontId="1" fillId="0" borderId="25" xfId="0" quotePrefix="1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right" vertical="center"/>
    </xf>
    <xf numFmtId="0" fontId="1" fillId="0" borderId="25" xfId="0" quotePrefix="1" applyFont="1" applyBorder="1" applyAlignment="1">
      <alignment horizontal="center" vertical="center"/>
    </xf>
    <xf numFmtId="0" fontId="54" fillId="0" borderId="28" xfId="0" applyFont="1" applyBorder="1" applyAlignment="1">
      <alignment horizontal="center" vertical="center"/>
    </xf>
    <xf numFmtId="0" fontId="54" fillId="0" borderId="34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168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16" fontId="0" fillId="0" borderId="25" xfId="0" quotePrefix="1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168" fontId="1" fillId="0" borderId="27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1" fillId="0" borderId="6" xfId="0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168" fontId="0" fillId="0" borderId="25" xfId="0" quotePrefix="1" applyNumberFormat="1" applyBorder="1" applyAlignment="1">
      <alignment horizontal="center" vertical="center"/>
    </xf>
    <xf numFmtId="168" fontId="1" fillId="0" borderId="25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9" fillId="0" borderId="1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66" fontId="44" fillId="0" borderId="41" xfId="0" quotePrefix="1" applyNumberFormat="1" applyFont="1" applyBorder="1" applyAlignment="1">
      <alignment horizontal="center"/>
    </xf>
    <xf numFmtId="166" fontId="44" fillId="0" borderId="15" xfId="0" applyNumberFormat="1" applyFont="1" applyBorder="1" applyAlignment="1">
      <alignment horizontal="center"/>
    </xf>
    <xf numFmtId="166" fontId="44" fillId="0" borderId="42" xfId="0" applyNumberFormat="1" applyFont="1" applyBorder="1" applyAlignment="1">
      <alignment horizontal="center"/>
    </xf>
    <xf numFmtId="0" fontId="45" fillId="0" borderId="0" xfId="0" quotePrefix="1" applyFont="1" applyAlignment="1">
      <alignment horizontal="center"/>
    </xf>
    <xf numFmtId="166" fontId="41" fillId="0" borderId="25" xfId="0" quotePrefix="1" applyNumberFormat="1" applyFont="1" applyBorder="1" applyAlignment="1">
      <alignment horizontal="center"/>
    </xf>
    <xf numFmtId="166" fontId="41" fillId="0" borderId="2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18" xfId="0" applyBorder="1" applyAlignment="1">
      <alignment horizontal="center"/>
    </xf>
    <xf numFmtId="0" fontId="0" fillId="0" borderId="35" xfId="0" applyBorder="1" applyAlignment="1">
      <alignment horizontal="center"/>
    </xf>
    <xf numFmtId="0" fontId="40" fillId="0" borderId="17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40" fillId="0" borderId="13" xfId="0" applyFont="1" applyBorder="1" applyAlignment="1">
      <alignment horizontal="center"/>
    </xf>
    <xf numFmtId="0" fontId="45" fillId="0" borderId="0" xfId="0" applyFont="1" applyAlignment="1">
      <alignment horizontal="center"/>
    </xf>
    <xf numFmtId="166" fontId="39" fillId="0" borderId="0" xfId="0" applyNumberFormat="1" applyFont="1" applyAlignment="1">
      <alignment horizontal="center"/>
    </xf>
    <xf numFmtId="0" fontId="40" fillId="0" borderId="18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3" xfId="0" quotePrefix="1" applyFont="1" applyBorder="1" applyAlignment="1">
      <alignment horizontal="center"/>
    </xf>
    <xf numFmtId="0" fontId="20" fillId="0" borderId="22" xfId="0" quotePrefix="1" applyFont="1" applyBorder="1" applyAlignment="1">
      <alignment horizontal="center"/>
    </xf>
    <xf numFmtId="0" fontId="20" fillId="0" borderId="20" xfId="0" quotePrefix="1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4" xfId="0" quotePrefix="1" applyFont="1" applyBorder="1" applyAlignment="1">
      <alignment horizontal="center"/>
    </xf>
    <xf numFmtId="0" fontId="20" fillId="0" borderId="11" xfId="0" quotePrefix="1" applyFont="1" applyBorder="1" applyAlignment="1">
      <alignment horizontal="center"/>
    </xf>
    <xf numFmtId="0" fontId="20" fillId="0" borderId="21" xfId="0" quotePrefix="1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50" fillId="9" borderId="27" xfId="0" applyFont="1" applyFill="1" applyBorder="1" applyAlignment="1">
      <alignment horizontal="center" vertical="center"/>
    </xf>
    <xf numFmtId="0" fontId="50" fillId="9" borderId="29" xfId="0" applyFont="1" applyFill="1" applyBorder="1" applyAlignment="1">
      <alignment horizontal="center" vertical="center"/>
    </xf>
    <xf numFmtId="0" fontId="0" fillId="9" borderId="27" xfId="0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168" fontId="81" fillId="16" borderId="25" xfId="0" quotePrefix="1" applyNumberFormat="1" applyFont="1" applyFill="1" applyBorder="1" applyAlignment="1">
      <alignment horizontal="center"/>
    </xf>
    <xf numFmtId="168" fontId="81" fillId="16" borderId="25" xfId="0" applyNumberFormat="1" applyFont="1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0" fillId="12" borderId="28" xfId="0" applyFill="1" applyBorder="1" applyAlignment="1">
      <alignment horizontal="center"/>
    </xf>
    <xf numFmtId="168" fontId="71" fillId="12" borderId="25" xfId="0" applyNumberFormat="1" applyFont="1" applyFill="1" applyBorder="1" applyAlignment="1">
      <alignment horizontal="center"/>
    </xf>
    <xf numFmtId="0" fontId="72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168" fontId="89" fillId="12" borderId="25" xfId="0" quotePrefix="1" applyNumberFormat="1" applyFont="1" applyFill="1" applyBorder="1" applyAlignment="1">
      <alignment horizontal="center"/>
    </xf>
    <xf numFmtId="168" fontId="89" fillId="12" borderId="25" xfId="0" applyNumberFormat="1" applyFont="1" applyFill="1" applyBorder="1" applyAlignment="1">
      <alignment horizontal="center"/>
    </xf>
    <xf numFmtId="0" fontId="66" fillId="20" borderId="25" xfId="0" applyFont="1" applyFill="1" applyBorder="1" applyAlignment="1">
      <alignment horizontal="center"/>
    </xf>
    <xf numFmtId="0" fontId="66" fillId="20" borderId="28" xfId="0" applyFont="1" applyFill="1" applyBorder="1" applyAlignment="1">
      <alignment horizontal="center"/>
    </xf>
    <xf numFmtId="168" fontId="70" fillId="0" borderId="0" xfId="0" applyNumberFormat="1" applyFont="1" applyAlignment="1">
      <alignment horizontal="center"/>
    </xf>
    <xf numFmtId="168" fontId="53" fillId="11" borderId="0" xfId="0" applyNumberFormat="1" applyFont="1" applyFill="1" applyAlignment="1">
      <alignment horizontal="center"/>
    </xf>
    <xf numFmtId="168" fontId="0" fillId="20" borderId="25" xfId="0" applyNumberFormat="1" applyFill="1" applyBorder="1" applyAlignment="1">
      <alignment horizontal="center"/>
    </xf>
    <xf numFmtId="0" fontId="78" fillId="13" borderId="25" xfId="0" applyFont="1" applyFill="1" applyBorder="1" applyAlignment="1">
      <alignment horizontal="center"/>
    </xf>
    <xf numFmtId="0" fontId="78" fillId="13" borderId="28" xfId="0" applyFont="1" applyFill="1" applyBorder="1" applyAlignment="1">
      <alignment horizontal="center"/>
    </xf>
    <xf numFmtId="168" fontId="81" fillId="19" borderId="25" xfId="0" applyNumberFormat="1" applyFont="1" applyFill="1" applyBorder="1" applyAlignment="1">
      <alignment horizontal="center"/>
    </xf>
    <xf numFmtId="0" fontId="74" fillId="0" borderId="0" xfId="0" applyFont="1" applyAlignment="1">
      <alignment horizontal="center" vertical="center"/>
    </xf>
    <xf numFmtId="0" fontId="53" fillId="18" borderId="25" xfId="0" applyFont="1" applyFill="1" applyBorder="1" applyAlignment="1">
      <alignment horizontal="center"/>
    </xf>
    <xf numFmtId="168" fontId="53" fillId="16" borderId="25" xfId="0" applyNumberFormat="1" applyFont="1" applyFill="1" applyBorder="1" applyAlignment="1">
      <alignment horizontal="center"/>
    </xf>
    <xf numFmtId="0" fontId="53" fillId="21" borderId="0" xfId="0" applyFont="1" applyFill="1" applyAlignment="1">
      <alignment horizontal="center"/>
    </xf>
    <xf numFmtId="168" fontId="53" fillId="15" borderId="25" xfId="0" applyNumberFormat="1" applyFont="1" applyFill="1" applyBorder="1" applyAlignment="1">
      <alignment horizontal="center"/>
    </xf>
    <xf numFmtId="168" fontId="0" fillId="12" borderId="25" xfId="0" applyNumberFormat="1" applyFill="1" applyBorder="1" applyAlignment="1">
      <alignment horizontal="center"/>
    </xf>
    <xf numFmtId="168" fontId="0" fillId="13" borderId="25" xfId="0" applyNumberFormat="1" applyFill="1" applyBorder="1" applyAlignment="1">
      <alignment horizontal="center"/>
    </xf>
    <xf numFmtId="168" fontId="53" fillId="14" borderId="25" xfId="0" applyNumberFormat="1" applyFont="1" applyFill="1" applyBorder="1" applyAlignment="1">
      <alignment horizontal="center"/>
    </xf>
    <xf numFmtId="168" fontId="53" fillId="13" borderId="25" xfId="0" applyNumberFormat="1" applyFont="1" applyFill="1" applyBorder="1" applyAlignment="1">
      <alignment horizontal="center"/>
    </xf>
    <xf numFmtId="168" fontId="53" fillId="19" borderId="25" xfId="0" applyNumberFormat="1" applyFont="1" applyFill="1" applyBorder="1" applyAlignment="1">
      <alignment horizontal="center"/>
    </xf>
    <xf numFmtId="168" fontId="81" fillId="21" borderId="25" xfId="0" quotePrefix="1" applyNumberFormat="1" applyFont="1" applyFill="1" applyBorder="1" applyAlignment="1">
      <alignment horizontal="center"/>
    </xf>
    <xf numFmtId="168" fontId="81" fillId="21" borderId="25" xfId="0" applyNumberFormat="1" applyFont="1" applyFill="1" applyBorder="1" applyAlignment="1">
      <alignment horizontal="center"/>
    </xf>
    <xf numFmtId="168" fontId="81" fillId="13" borderId="25" xfId="0" quotePrefix="1" applyNumberFormat="1" applyFont="1" applyFill="1" applyBorder="1" applyAlignment="1">
      <alignment horizontal="center"/>
    </xf>
    <xf numFmtId="168" fontId="81" fillId="13" borderId="25" xfId="0" applyNumberFormat="1" applyFont="1" applyFill="1" applyBorder="1" applyAlignment="1">
      <alignment horizontal="center"/>
    </xf>
    <xf numFmtId="17" fontId="81" fillId="21" borderId="0" xfId="0" quotePrefix="1" applyNumberFormat="1" applyFont="1" applyFill="1" applyAlignment="1">
      <alignment horizontal="center"/>
    </xf>
    <xf numFmtId="0" fontId="81" fillId="21" borderId="0" xfId="0" applyFont="1" applyFill="1" applyAlignment="1">
      <alignment horizontal="center"/>
    </xf>
    <xf numFmtId="168" fontId="64" fillId="0" borderId="37" xfId="0" applyNumberFormat="1" applyFont="1" applyBorder="1" applyAlignment="1">
      <alignment horizontal="center"/>
    </xf>
    <xf numFmtId="168" fontId="64" fillId="0" borderId="0" xfId="0" applyNumberFormat="1" applyFont="1" applyAlignment="1">
      <alignment horizontal="center"/>
    </xf>
    <xf numFmtId="168" fontId="71" fillId="20" borderId="25" xfId="0" applyNumberFormat="1" applyFont="1" applyFill="1" applyBorder="1" applyAlignment="1">
      <alignment horizontal="center"/>
    </xf>
    <xf numFmtId="168" fontId="89" fillId="20" borderId="25" xfId="0" quotePrefix="1" applyNumberFormat="1" applyFont="1" applyFill="1" applyBorder="1" applyAlignment="1">
      <alignment horizontal="center"/>
    </xf>
    <xf numFmtId="168" fontId="89" fillId="20" borderId="25" xfId="0" applyNumberFormat="1" applyFont="1" applyFill="1" applyBorder="1" applyAlignment="1">
      <alignment horizontal="center"/>
    </xf>
    <xf numFmtId="0" fontId="87" fillId="0" borderId="0" xfId="0" applyFont="1" applyAlignment="1">
      <alignment horizontal="center"/>
    </xf>
    <xf numFmtId="0" fontId="53" fillId="13" borderId="25" xfId="0" applyFont="1" applyFill="1" applyBorder="1" applyAlignment="1">
      <alignment horizontal="center"/>
    </xf>
    <xf numFmtId="0" fontId="53" fillId="16" borderId="25" xfId="0" applyFont="1" applyFill="1" applyBorder="1" applyAlignment="1">
      <alignment horizontal="center"/>
    </xf>
    <xf numFmtId="0" fontId="53" fillId="17" borderId="25" xfId="0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 applyAlignment="1"/>
    <xf numFmtId="0" fontId="1" fillId="0" borderId="3" xfId="0" applyFont="1" applyBorder="1" applyAlignment="1"/>
    <xf numFmtId="49" fontId="8" fillId="0" borderId="9" xfId="0" applyNumberFormat="1" applyFont="1" applyBorder="1" applyAlignment="1">
      <alignment horizontal="center"/>
    </xf>
    <xf numFmtId="0" fontId="1" fillId="0" borderId="6" xfId="0" applyFont="1" applyBorder="1" applyAlignment="1"/>
    <xf numFmtId="0" fontId="1" fillId="0" borderId="2" xfId="0" applyFont="1" applyBorder="1" applyAlignment="1"/>
    <xf numFmtId="49" fontId="5" fillId="0" borderId="7" xfId="0" applyNumberFormat="1" applyFont="1" applyBorder="1" applyAlignment="1">
      <alignment horizontal="center" vertical="center"/>
    </xf>
    <xf numFmtId="0" fontId="5" fillId="0" borderId="10" xfId="0" applyFont="1" applyBorder="1" applyAlignment="1"/>
    <xf numFmtId="0" fontId="5" fillId="0" borderId="3" xfId="0" applyFont="1" applyBorder="1" applyAlignment="1"/>
    <xf numFmtId="49" fontId="27" fillId="0" borderId="9" xfId="0" applyNumberFormat="1" applyFont="1" applyBorder="1" applyAlignment="1">
      <alignment horizontal="center"/>
    </xf>
    <xf numFmtId="0" fontId="5" fillId="0" borderId="6" xfId="0" applyFont="1" applyBorder="1" applyAlignment="1"/>
    <xf numFmtId="0" fontId="5" fillId="0" borderId="2" xfId="0" applyFont="1" applyBorder="1" applyAlignment="1"/>
  </cellXfs>
  <cellStyles count="2">
    <cellStyle name="Hyperlink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33</xdr:row>
      <xdr:rowOff>0</xdr:rowOff>
    </xdr:from>
    <xdr:to>
      <xdr:col>14</xdr:col>
      <xdr:colOff>133350</xdr:colOff>
      <xdr:row>33</xdr:row>
      <xdr:rowOff>47625</xdr:rowOff>
    </xdr:to>
    <xdr:pic>
      <xdr:nvPicPr>
        <xdr:cNvPr id="2049" name="image1.png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44450" y="523875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notificaciones.scba.gov.ar/verificar.aspx" TargetMode="External"/><Relationship Id="rId1" Type="http://schemas.openxmlformats.org/officeDocument/2006/relationships/hyperlink" Target="https://1drv.ms/x/s!AnOjTzBbE1vqpViqAPSuQnAVVQRl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carfelsa@hotamil.com" TargetMode="External"/><Relationship Id="rId3" Type="http://schemas.openxmlformats.org/officeDocument/2006/relationships/hyperlink" Target="mailto:cuotacolegioestrada@gmail.com" TargetMode="External"/><Relationship Id="rId7" Type="http://schemas.openxmlformats.org/officeDocument/2006/relationships/hyperlink" Target="mailto:carfelsa@hotmail.com" TargetMode="External"/><Relationship Id="rId2" Type="http://schemas.openxmlformats.org/officeDocument/2006/relationships/hyperlink" Target="mailto:Li_07@live.com" TargetMode="External"/><Relationship Id="rId1" Type="http://schemas.openxmlformats.org/officeDocument/2006/relationships/hyperlink" Target="mailto:liLetiBenitez@gmail.com" TargetMode="External"/><Relationship Id="rId6" Type="http://schemas.openxmlformats.org/officeDocument/2006/relationships/hyperlink" Target="mailto:carlosgaun@hotmail.com" TargetMode="External"/><Relationship Id="rId5" Type="http://schemas.openxmlformats.org/officeDocument/2006/relationships/hyperlink" Target="mailto:carlosGaun@hotmail.com%20-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rubengaunawisnert@gmail.com" TargetMode="External"/><Relationship Id="rId9" Type="http://schemas.openxmlformats.org/officeDocument/2006/relationships/hyperlink" Target="mailto:carfelsa@hotam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K194"/>
  <sheetViews>
    <sheetView topLeftCell="D32" workbookViewId="0">
      <selection activeCell="G8" sqref="G8"/>
    </sheetView>
  </sheetViews>
  <sheetFormatPr defaultColWidth="17.28515625" defaultRowHeight="15" customHeight="1"/>
  <cols>
    <col min="1" max="1" width="8.28515625" style="489" customWidth="1"/>
    <col min="2" max="2" width="4.85546875" style="489" customWidth="1"/>
    <col min="3" max="36" width="4.7109375" style="489" customWidth="1"/>
    <col min="37" max="37" width="8.28515625" style="489" customWidth="1"/>
    <col min="38" max="38" width="9.140625" style="489" customWidth="1"/>
    <col min="39" max="16384" width="17.28515625" style="489"/>
  </cols>
  <sheetData>
    <row r="1" spans="1:37" ht="12.75" customHeight="1">
      <c r="A1" s="541">
        <v>2021</v>
      </c>
      <c r="B1" s="541" t="s">
        <v>0</v>
      </c>
      <c r="C1" s="541" t="s">
        <v>1</v>
      </c>
      <c r="D1" s="541" t="s">
        <v>2</v>
      </c>
      <c r="E1" s="541" t="s">
        <v>3</v>
      </c>
      <c r="F1" s="541" t="s">
        <v>4</v>
      </c>
      <c r="G1" s="541" t="s">
        <v>5</v>
      </c>
      <c r="H1" s="541" t="s">
        <v>6</v>
      </c>
      <c r="I1" s="541" t="s">
        <v>0</v>
      </c>
      <c r="J1" s="541" t="s">
        <v>1</v>
      </c>
      <c r="K1" s="541" t="s">
        <v>2</v>
      </c>
      <c r="L1" s="541" t="s">
        <v>3</v>
      </c>
      <c r="M1" s="541" t="s">
        <v>4</v>
      </c>
      <c r="N1" s="541" t="s">
        <v>5</v>
      </c>
      <c r="O1" s="541" t="s">
        <v>6</v>
      </c>
      <c r="P1" s="541" t="s">
        <v>0</v>
      </c>
      <c r="Q1" s="541" t="s">
        <v>1</v>
      </c>
      <c r="R1" s="541" t="s">
        <v>2</v>
      </c>
      <c r="S1" s="541" t="s">
        <v>3</v>
      </c>
      <c r="T1" s="541" t="s">
        <v>4</v>
      </c>
      <c r="U1" s="541" t="s">
        <v>5</v>
      </c>
      <c r="V1" s="541" t="s">
        <v>6</v>
      </c>
      <c r="W1" s="541" t="s">
        <v>0</v>
      </c>
      <c r="X1" s="541" t="s">
        <v>1</v>
      </c>
      <c r="Y1" s="541" t="s">
        <v>2</v>
      </c>
      <c r="Z1" s="541" t="s">
        <v>3</v>
      </c>
      <c r="AA1" s="541" t="s">
        <v>4</v>
      </c>
      <c r="AB1" s="541" t="s">
        <v>5</v>
      </c>
      <c r="AC1" s="541" t="s">
        <v>6</v>
      </c>
      <c r="AD1" s="541" t="s">
        <v>0</v>
      </c>
      <c r="AE1" s="541" t="s">
        <v>1</v>
      </c>
      <c r="AF1" s="541" t="s">
        <v>2</v>
      </c>
      <c r="AG1" s="541" t="s">
        <v>3</v>
      </c>
      <c r="AH1" s="541" t="s">
        <v>4</v>
      </c>
      <c r="AI1" s="541" t="s">
        <v>5</v>
      </c>
      <c r="AJ1" s="541" t="s">
        <v>6</v>
      </c>
      <c r="AK1" s="541">
        <v>2021</v>
      </c>
    </row>
    <row r="2" spans="1:37" ht="12.75" customHeight="1">
      <c r="A2" s="823"/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3"/>
      <c r="P2" s="823"/>
      <c r="Q2" s="823"/>
      <c r="R2" s="823"/>
      <c r="S2" s="823"/>
      <c r="T2" s="823"/>
      <c r="U2" s="823"/>
      <c r="V2" s="823"/>
      <c r="W2" s="823"/>
      <c r="X2" s="823"/>
      <c r="Y2" s="823"/>
      <c r="Z2" s="823"/>
      <c r="AA2" s="823"/>
      <c r="AB2" s="823"/>
      <c r="AC2" s="823"/>
      <c r="AD2" s="823"/>
      <c r="AE2" s="823"/>
      <c r="AF2" s="823"/>
      <c r="AG2" s="823"/>
      <c r="AH2" s="823"/>
      <c r="AI2" s="823"/>
      <c r="AJ2" s="823"/>
      <c r="AK2" s="823"/>
    </row>
    <row r="3" spans="1:37" ht="12.75" customHeight="1">
      <c r="A3" s="769" t="s">
        <v>7</v>
      </c>
      <c r="B3" s="767">
        <v>28</v>
      </c>
      <c r="C3" s="768">
        <v>29</v>
      </c>
      <c r="D3" s="768">
        <v>30</v>
      </c>
      <c r="E3" s="768">
        <v>31</v>
      </c>
      <c r="F3" s="774">
        <v>1</v>
      </c>
      <c r="G3" s="769">
        <v>2</v>
      </c>
      <c r="H3" s="770">
        <v>3</v>
      </c>
      <c r="I3" s="769">
        <v>4</v>
      </c>
      <c r="J3" s="769">
        <v>5</v>
      </c>
      <c r="K3" s="769">
        <v>6</v>
      </c>
      <c r="L3" s="769">
        <v>7</v>
      </c>
      <c r="M3" s="769">
        <v>8</v>
      </c>
      <c r="N3" s="769">
        <v>9</v>
      </c>
      <c r="O3" s="770">
        <v>10</v>
      </c>
      <c r="P3" s="769">
        <v>11</v>
      </c>
      <c r="Q3" s="769">
        <v>12</v>
      </c>
      <c r="R3" s="769">
        <v>13</v>
      </c>
      <c r="S3" s="769">
        <v>14</v>
      </c>
      <c r="T3" s="769">
        <v>15</v>
      </c>
      <c r="U3" s="769">
        <v>16</v>
      </c>
      <c r="V3" s="770">
        <v>17</v>
      </c>
      <c r="W3" s="769">
        <v>18</v>
      </c>
      <c r="X3" s="769">
        <v>19</v>
      </c>
      <c r="Y3" s="769">
        <v>20</v>
      </c>
      <c r="Z3" s="769">
        <v>21</v>
      </c>
      <c r="AA3" s="769">
        <v>22</v>
      </c>
      <c r="AB3" s="769">
        <v>23</v>
      </c>
      <c r="AC3" s="770">
        <v>24</v>
      </c>
      <c r="AD3" s="769">
        <v>25</v>
      </c>
      <c r="AE3" s="769">
        <v>26</v>
      </c>
      <c r="AF3" s="769">
        <v>27</v>
      </c>
      <c r="AG3" s="769">
        <v>28</v>
      </c>
      <c r="AH3" s="767">
        <v>29</v>
      </c>
      <c r="AI3" s="767">
        <v>30</v>
      </c>
      <c r="AJ3" s="771">
        <v>31</v>
      </c>
      <c r="AK3" s="769" t="s">
        <v>7</v>
      </c>
    </row>
    <row r="4" spans="1:37" ht="12.75" customHeight="1">
      <c r="A4" s="619"/>
      <c r="B4" s="619"/>
      <c r="C4" s="619"/>
      <c r="D4" s="619"/>
      <c r="E4" s="619"/>
      <c r="F4" s="773"/>
      <c r="G4" s="773"/>
      <c r="H4" s="619"/>
      <c r="I4" s="773"/>
      <c r="J4" s="773"/>
      <c r="K4" s="773"/>
      <c r="L4" s="773"/>
      <c r="M4" s="773"/>
      <c r="N4" s="773"/>
      <c r="O4" s="619"/>
      <c r="P4" s="773"/>
      <c r="Q4" s="773"/>
      <c r="R4" s="773"/>
      <c r="S4" s="773"/>
      <c r="T4" s="773"/>
      <c r="U4" s="773"/>
      <c r="V4" s="619"/>
      <c r="W4" s="773"/>
      <c r="X4" s="773"/>
      <c r="Y4" s="773"/>
      <c r="Z4" s="773"/>
      <c r="AA4" s="773"/>
      <c r="AB4" s="773"/>
      <c r="AC4" s="619"/>
      <c r="AD4" s="773"/>
      <c r="AE4" s="773"/>
      <c r="AF4" s="773"/>
      <c r="AG4" s="773"/>
      <c r="AH4" s="619"/>
      <c r="AI4" s="619"/>
      <c r="AJ4" s="619"/>
      <c r="AK4" s="619"/>
    </row>
    <row r="5" spans="1:37" ht="12.75" customHeight="1">
      <c r="A5" s="541" t="s">
        <v>8</v>
      </c>
      <c r="B5" s="775">
        <v>1</v>
      </c>
      <c r="C5" s="775">
        <v>2</v>
      </c>
      <c r="D5" s="775">
        <v>3</v>
      </c>
      <c r="E5" s="775">
        <v>4</v>
      </c>
      <c r="F5" s="769">
        <v>5</v>
      </c>
      <c r="G5" s="769">
        <v>6</v>
      </c>
      <c r="H5" s="770">
        <v>7</v>
      </c>
      <c r="I5" s="769">
        <v>8</v>
      </c>
      <c r="J5" s="769">
        <v>9</v>
      </c>
      <c r="K5" s="769">
        <v>10</v>
      </c>
      <c r="L5" s="769">
        <v>11</v>
      </c>
      <c r="M5" s="769">
        <v>12</v>
      </c>
      <c r="N5" s="769">
        <v>13</v>
      </c>
      <c r="O5" s="770">
        <v>14</v>
      </c>
      <c r="P5" s="772">
        <v>15</v>
      </c>
      <c r="Q5" s="772">
        <v>16</v>
      </c>
      <c r="R5" s="541">
        <v>17</v>
      </c>
      <c r="S5" s="541">
        <v>18</v>
      </c>
      <c r="T5" s="541">
        <v>19</v>
      </c>
      <c r="U5" s="541">
        <v>20</v>
      </c>
      <c r="V5" s="770">
        <v>21</v>
      </c>
      <c r="W5" s="546">
        <v>22</v>
      </c>
      <c r="X5" s="546">
        <v>23</v>
      </c>
      <c r="Y5" s="546">
        <v>24</v>
      </c>
      <c r="Z5" s="546">
        <v>25</v>
      </c>
      <c r="AA5" s="541">
        <v>26</v>
      </c>
      <c r="AB5" s="541">
        <v>27</v>
      </c>
      <c r="AC5" s="770">
        <v>28</v>
      </c>
      <c r="AD5" s="768">
        <v>1</v>
      </c>
      <c r="AE5" s="768">
        <v>2</v>
      </c>
      <c r="AF5" s="768">
        <v>3</v>
      </c>
      <c r="AG5" s="768">
        <v>4</v>
      </c>
      <c r="AH5" s="767">
        <v>5</v>
      </c>
      <c r="AI5" s="767">
        <v>6</v>
      </c>
      <c r="AJ5" s="771">
        <v>7</v>
      </c>
      <c r="AK5" s="541" t="s">
        <v>8</v>
      </c>
    </row>
    <row r="6" spans="1:37" ht="12.75" customHeight="1">
      <c r="A6" s="619"/>
      <c r="B6" s="619"/>
      <c r="C6" s="619"/>
      <c r="D6" s="619"/>
      <c r="E6" s="619"/>
      <c r="F6" s="773"/>
      <c r="G6" s="773"/>
      <c r="H6" s="619"/>
      <c r="I6" s="773"/>
      <c r="J6" s="773"/>
      <c r="K6" s="773"/>
      <c r="L6" s="773"/>
      <c r="M6" s="773"/>
      <c r="N6" s="773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</row>
    <row r="7" spans="1:37" ht="12.75" customHeight="1">
      <c r="A7" s="541" t="s">
        <v>1</v>
      </c>
      <c r="B7" s="548">
        <v>1</v>
      </c>
      <c r="C7" s="548">
        <v>2</v>
      </c>
      <c r="D7" s="548">
        <v>3</v>
      </c>
      <c r="E7" s="548">
        <v>4</v>
      </c>
      <c r="F7" s="548">
        <v>5</v>
      </c>
      <c r="G7" s="548">
        <v>6</v>
      </c>
      <c r="H7" s="770">
        <v>7</v>
      </c>
      <c r="I7" s="548">
        <v>8</v>
      </c>
      <c r="J7" s="775">
        <v>9</v>
      </c>
      <c r="K7" s="541">
        <v>10</v>
      </c>
      <c r="L7" s="541">
        <v>11</v>
      </c>
      <c r="M7" s="541">
        <v>12</v>
      </c>
      <c r="N7" s="541">
        <v>13</v>
      </c>
      <c r="O7" s="770">
        <v>14</v>
      </c>
      <c r="P7" s="541">
        <v>15</v>
      </c>
      <c r="Q7" s="541">
        <v>16</v>
      </c>
      <c r="R7" s="541">
        <v>17</v>
      </c>
      <c r="S7" s="541">
        <v>18</v>
      </c>
      <c r="T7" s="541">
        <v>19</v>
      </c>
      <c r="U7" s="541">
        <v>20</v>
      </c>
      <c r="V7" s="770">
        <v>21</v>
      </c>
      <c r="W7" s="546">
        <v>22</v>
      </c>
      <c r="X7" s="546">
        <v>23</v>
      </c>
      <c r="Y7" s="772">
        <v>24</v>
      </c>
      <c r="Z7" s="546">
        <v>25</v>
      </c>
      <c r="AA7" s="541">
        <v>26</v>
      </c>
      <c r="AB7" s="541">
        <v>27</v>
      </c>
      <c r="AC7" s="776">
        <v>28</v>
      </c>
      <c r="AD7" s="546">
        <v>29</v>
      </c>
      <c r="AE7" s="546">
        <v>30</v>
      </c>
      <c r="AF7" s="541">
        <v>31</v>
      </c>
      <c r="AG7" s="768">
        <v>1</v>
      </c>
      <c r="AH7" s="768">
        <v>2</v>
      </c>
      <c r="AI7" s="768">
        <v>3</v>
      </c>
      <c r="AJ7" s="771">
        <v>4</v>
      </c>
      <c r="AK7" s="541" t="s">
        <v>1</v>
      </c>
    </row>
    <row r="8" spans="1:37" ht="12.75" customHeight="1">
      <c r="A8" s="823"/>
      <c r="B8" s="619"/>
      <c r="C8" s="619"/>
      <c r="D8" s="619"/>
      <c r="E8" s="619"/>
      <c r="F8" s="619"/>
      <c r="G8" s="619"/>
      <c r="H8" s="782"/>
      <c r="I8" s="619"/>
      <c r="J8" s="773"/>
      <c r="K8" s="823"/>
      <c r="L8" s="823"/>
      <c r="M8" s="823"/>
      <c r="N8" s="823"/>
      <c r="O8" s="782"/>
      <c r="P8" s="823"/>
      <c r="R8" s="823"/>
      <c r="S8" s="823"/>
      <c r="T8" s="823"/>
      <c r="U8" s="823"/>
      <c r="V8" s="782"/>
      <c r="W8" s="619"/>
      <c r="X8" s="619"/>
      <c r="Y8" s="783"/>
      <c r="Z8" s="619"/>
      <c r="AA8" s="823"/>
      <c r="AB8" s="823"/>
      <c r="AC8" s="782"/>
      <c r="AD8" s="619"/>
      <c r="AE8" s="619"/>
      <c r="AF8" s="823"/>
      <c r="AG8" s="783"/>
      <c r="AH8" s="783"/>
      <c r="AI8" s="783"/>
      <c r="AJ8" s="782"/>
      <c r="AK8" s="823"/>
    </row>
    <row r="9" spans="1:37" ht="12.75" customHeight="1">
      <c r="A9" s="823"/>
      <c r="B9" s="619"/>
      <c r="C9" s="619"/>
      <c r="D9" s="886" t="s">
        <v>9</v>
      </c>
      <c r="E9" s="886"/>
      <c r="F9" s="886"/>
      <c r="G9" s="886"/>
      <c r="H9" s="886"/>
      <c r="I9" s="886"/>
      <c r="J9" s="886"/>
      <c r="K9" s="886"/>
      <c r="L9" s="886"/>
      <c r="M9" s="886"/>
      <c r="N9" s="886"/>
      <c r="O9" s="886"/>
      <c r="P9" s="886"/>
      <c r="Q9" s="886"/>
      <c r="R9" s="886"/>
      <c r="S9" s="886"/>
      <c r="T9" s="886"/>
      <c r="U9" s="886"/>
      <c r="V9" s="886"/>
      <c r="W9" s="886"/>
      <c r="X9" s="886"/>
      <c r="Y9" s="886"/>
      <c r="Z9" s="886"/>
      <c r="AA9" s="886"/>
      <c r="AB9" s="886"/>
      <c r="AC9" s="782"/>
      <c r="AD9" s="619"/>
      <c r="AE9" s="619"/>
      <c r="AF9" s="823"/>
      <c r="AG9" s="783"/>
      <c r="AH9" s="783"/>
      <c r="AI9" s="783"/>
      <c r="AJ9" s="782"/>
      <c r="AK9" s="823"/>
    </row>
    <row r="10" spans="1:37" ht="12.75" customHeight="1">
      <c r="A10" s="619"/>
      <c r="B10" s="619"/>
      <c r="C10" s="619"/>
      <c r="D10" s="619"/>
      <c r="E10" s="619"/>
      <c r="F10" s="619"/>
      <c r="G10" s="619"/>
      <c r="H10" s="619"/>
      <c r="I10" s="773"/>
      <c r="J10" s="773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  <c r="AC10" s="619"/>
      <c r="AD10" s="619"/>
      <c r="AE10" s="619"/>
      <c r="AF10" s="619"/>
      <c r="AG10" s="619"/>
      <c r="AH10" s="619"/>
      <c r="AI10" s="619"/>
      <c r="AJ10" s="619"/>
      <c r="AK10" s="619"/>
    </row>
    <row r="11" spans="1:37" ht="12.75" customHeight="1">
      <c r="A11" s="541" t="s">
        <v>10</v>
      </c>
      <c r="B11" s="768">
        <v>29</v>
      </c>
      <c r="C11" s="768">
        <v>30</v>
      </c>
      <c r="D11" s="768">
        <v>31</v>
      </c>
      <c r="E11" s="772">
        <v>1</v>
      </c>
      <c r="F11" s="772">
        <v>2</v>
      </c>
      <c r="G11" s="541">
        <v>3</v>
      </c>
      <c r="H11" s="770">
        <v>4</v>
      </c>
      <c r="I11" s="541">
        <v>5</v>
      </c>
      <c r="J11" s="541">
        <v>6</v>
      </c>
      <c r="K11" s="541">
        <v>7</v>
      </c>
      <c r="L11" s="541">
        <v>8</v>
      </c>
      <c r="M11" s="541">
        <v>9</v>
      </c>
      <c r="N11" s="541">
        <v>10</v>
      </c>
      <c r="O11" s="770">
        <v>11</v>
      </c>
      <c r="P11" s="541">
        <v>12</v>
      </c>
      <c r="Q11" s="541">
        <v>13</v>
      </c>
      <c r="R11" s="541">
        <v>14</v>
      </c>
      <c r="S11" s="548">
        <v>15</v>
      </c>
      <c r="T11" s="548">
        <v>16</v>
      </c>
      <c r="U11" s="541">
        <v>17</v>
      </c>
      <c r="V11" s="770">
        <v>18</v>
      </c>
      <c r="W11" s="546">
        <v>19</v>
      </c>
      <c r="X11" s="546">
        <v>20</v>
      </c>
      <c r="Y11" s="546">
        <v>21</v>
      </c>
      <c r="Z11" s="546">
        <v>22</v>
      </c>
      <c r="AA11" s="541">
        <v>23</v>
      </c>
      <c r="AB11" s="541">
        <v>24</v>
      </c>
      <c r="AC11" s="770">
        <v>25</v>
      </c>
      <c r="AD11" s="546">
        <v>26</v>
      </c>
      <c r="AE11" s="546">
        <v>27</v>
      </c>
      <c r="AF11" s="548">
        <v>28</v>
      </c>
      <c r="AG11" s="548">
        <v>29</v>
      </c>
      <c r="AH11" s="548">
        <v>30</v>
      </c>
      <c r="AI11" s="767">
        <v>1</v>
      </c>
      <c r="AJ11" s="771">
        <v>2</v>
      </c>
      <c r="AK11" s="541" t="s">
        <v>10</v>
      </c>
    </row>
    <row r="12" spans="1:37" ht="12.75" customHeight="1">
      <c r="A12" s="619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  <c r="AC12" s="619"/>
      <c r="AD12" s="619"/>
      <c r="AE12" s="619"/>
      <c r="AF12" s="619"/>
      <c r="AG12" s="619"/>
      <c r="AH12" s="619"/>
      <c r="AI12" s="619"/>
      <c r="AJ12" s="619"/>
      <c r="AK12" s="619"/>
    </row>
    <row r="13" spans="1:37" ht="12.75" customHeight="1">
      <c r="A13" s="541" t="s">
        <v>11</v>
      </c>
      <c r="B13" s="768">
        <v>26</v>
      </c>
      <c r="C13" s="768">
        <v>27</v>
      </c>
      <c r="D13" s="768">
        <v>28</v>
      </c>
      <c r="E13" s="768">
        <v>29</v>
      </c>
      <c r="F13" s="768">
        <v>30</v>
      </c>
      <c r="G13" s="541">
        <v>1</v>
      </c>
      <c r="H13" s="770">
        <v>2</v>
      </c>
      <c r="I13" s="541">
        <v>3</v>
      </c>
      <c r="J13" s="541">
        <v>4</v>
      </c>
      <c r="K13" s="541">
        <v>5</v>
      </c>
      <c r="L13" s="541">
        <v>6</v>
      </c>
      <c r="M13" s="541">
        <v>7</v>
      </c>
      <c r="N13" s="541">
        <v>8</v>
      </c>
      <c r="O13" s="770">
        <v>9</v>
      </c>
      <c r="P13" s="541">
        <v>10</v>
      </c>
      <c r="Q13" s="541">
        <v>11</v>
      </c>
      <c r="R13" s="541">
        <v>12</v>
      </c>
      <c r="S13" s="541">
        <v>13</v>
      </c>
      <c r="T13" s="541">
        <v>14</v>
      </c>
      <c r="U13" s="541">
        <v>15</v>
      </c>
      <c r="V13" s="770">
        <v>16</v>
      </c>
      <c r="W13" s="546">
        <v>17</v>
      </c>
      <c r="X13" s="546">
        <v>18</v>
      </c>
      <c r="Y13" s="546">
        <v>19</v>
      </c>
      <c r="Z13" s="546">
        <v>20</v>
      </c>
      <c r="AA13" s="541">
        <v>21</v>
      </c>
      <c r="AB13" s="548">
        <v>22</v>
      </c>
      <c r="AC13" s="770">
        <v>23</v>
      </c>
      <c r="AD13" s="772">
        <v>24</v>
      </c>
      <c r="AE13" s="772">
        <v>25</v>
      </c>
      <c r="AF13" s="541">
        <v>26</v>
      </c>
      <c r="AG13" s="541">
        <v>27</v>
      </c>
      <c r="AH13" s="541">
        <v>28</v>
      </c>
      <c r="AI13" s="548">
        <v>29</v>
      </c>
      <c r="AJ13" s="771">
        <v>30</v>
      </c>
      <c r="AK13" s="541" t="s">
        <v>11</v>
      </c>
    </row>
    <row r="14" spans="1:37" ht="12.75" customHeight="1">
      <c r="A14" s="619"/>
      <c r="B14" s="619"/>
      <c r="C14" s="619"/>
      <c r="D14" s="619"/>
      <c r="E14" s="619"/>
      <c r="F14" s="619"/>
      <c r="G14" s="619"/>
      <c r="H14" s="619"/>
      <c r="I14" s="61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  <c r="W14" s="619"/>
      <c r="X14" s="619"/>
      <c r="Y14" s="619"/>
      <c r="Z14" s="619"/>
      <c r="AA14" s="619"/>
      <c r="AB14" s="619"/>
      <c r="AC14" s="619"/>
      <c r="AD14" s="619"/>
      <c r="AE14" s="619"/>
      <c r="AF14" s="619"/>
      <c r="AG14" s="619"/>
      <c r="AH14" s="619"/>
      <c r="AI14" s="619"/>
      <c r="AJ14" s="619"/>
      <c r="AK14" s="619"/>
    </row>
    <row r="15" spans="1:37" ht="12.75" customHeight="1">
      <c r="A15" s="541" t="s">
        <v>12</v>
      </c>
      <c r="B15" s="767">
        <v>31</v>
      </c>
      <c r="C15" s="548">
        <v>1</v>
      </c>
      <c r="D15" s="548">
        <v>2</v>
      </c>
      <c r="E15" s="548">
        <v>3</v>
      </c>
      <c r="F15" s="548">
        <v>4</v>
      </c>
      <c r="G15" s="541">
        <v>5</v>
      </c>
      <c r="H15" s="770">
        <v>6</v>
      </c>
      <c r="I15" s="541">
        <v>7</v>
      </c>
      <c r="J15" s="541">
        <v>8</v>
      </c>
      <c r="K15" s="541">
        <v>9</v>
      </c>
      <c r="L15" s="541">
        <v>10</v>
      </c>
      <c r="M15" s="541">
        <v>11</v>
      </c>
      <c r="N15" s="541">
        <v>12</v>
      </c>
      <c r="O15" s="770">
        <v>13</v>
      </c>
      <c r="P15" s="772">
        <v>14</v>
      </c>
      <c r="Q15" s="541">
        <v>15</v>
      </c>
      <c r="R15" s="541">
        <v>16</v>
      </c>
      <c r="S15" s="541">
        <v>17</v>
      </c>
      <c r="T15" s="541">
        <v>18</v>
      </c>
      <c r="U15" s="541">
        <v>19</v>
      </c>
      <c r="V15" s="770">
        <v>20</v>
      </c>
      <c r="W15" s="548">
        <v>21</v>
      </c>
      <c r="X15" s="548">
        <v>22</v>
      </c>
      <c r="Y15" s="548">
        <v>23</v>
      </c>
      <c r="Z15" s="548">
        <v>24</v>
      </c>
      <c r="AA15" s="541">
        <v>25</v>
      </c>
      <c r="AB15" s="541">
        <v>26</v>
      </c>
      <c r="AC15" s="770">
        <v>27</v>
      </c>
      <c r="AD15" s="546">
        <v>28</v>
      </c>
      <c r="AE15" s="546">
        <v>29</v>
      </c>
      <c r="AF15" s="541">
        <v>30</v>
      </c>
      <c r="AG15" s="768">
        <v>1</v>
      </c>
      <c r="AH15" s="768">
        <v>2</v>
      </c>
      <c r="AI15" s="768">
        <v>3</v>
      </c>
      <c r="AJ15" s="771">
        <v>4</v>
      </c>
      <c r="AK15" s="541" t="s">
        <v>12</v>
      </c>
    </row>
    <row r="16" spans="1:37" ht="12.75" customHeight="1">
      <c r="A16" s="619"/>
      <c r="B16" s="619"/>
      <c r="C16" s="619"/>
      <c r="D16" s="619"/>
      <c r="E16" s="619"/>
      <c r="F16" s="619"/>
      <c r="G16" s="619"/>
      <c r="H16" s="619"/>
      <c r="I16" s="619"/>
      <c r="J16" s="619"/>
      <c r="K16" s="619"/>
      <c r="L16" s="619"/>
      <c r="M16" s="619"/>
      <c r="N16" s="619"/>
      <c r="O16" s="619"/>
      <c r="P16" s="773"/>
      <c r="Q16" s="773"/>
      <c r="R16" s="773"/>
      <c r="S16" s="773"/>
      <c r="T16" s="773"/>
      <c r="U16" s="773"/>
      <c r="V16" s="619"/>
      <c r="W16" s="773"/>
      <c r="X16" s="773"/>
      <c r="Y16" s="773"/>
      <c r="Z16" s="773"/>
      <c r="AA16" s="773"/>
      <c r="AB16" s="773"/>
      <c r="AC16" s="619"/>
      <c r="AD16" s="773"/>
      <c r="AE16" s="773"/>
      <c r="AF16" s="773"/>
      <c r="AG16" s="773"/>
      <c r="AH16" s="773"/>
      <c r="AI16" s="773"/>
      <c r="AJ16" s="619"/>
      <c r="AK16" s="619"/>
    </row>
    <row r="17" spans="1:37" ht="12.75" customHeight="1">
      <c r="A17" s="541" t="s">
        <v>13</v>
      </c>
      <c r="B17" s="768">
        <v>28</v>
      </c>
      <c r="C17" s="768">
        <v>29</v>
      </c>
      <c r="D17" s="768">
        <v>30</v>
      </c>
      <c r="E17" s="541">
        <v>1</v>
      </c>
      <c r="F17" s="541">
        <v>2</v>
      </c>
      <c r="G17" s="541">
        <v>3</v>
      </c>
      <c r="H17" s="770">
        <v>4</v>
      </c>
      <c r="I17" s="548">
        <v>5</v>
      </c>
      <c r="J17" s="548">
        <v>6</v>
      </c>
      <c r="K17" s="541">
        <v>7</v>
      </c>
      <c r="L17" s="541">
        <v>8</v>
      </c>
      <c r="M17" s="772">
        <v>9</v>
      </c>
      <c r="N17" s="541">
        <v>10</v>
      </c>
      <c r="O17" s="770">
        <v>11</v>
      </c>
      <c r="P17" s="541">
        <v>12</v>
      </c>
      <c r="Q17" s="541">
        <v>13</v>
      </c>
      <c r="R17" s="541">
        <v>14</v>
      </c>
      <c r="S17" s="541">
        <v>15</v>
      </c>
      <c r="T17" s="541">
        <v>16</v>
      </c>
      <c r="U17" s="541">
        <v>17</v>
      </c>
      <c r="V17" s="770">
        <v>18</v>
      </c>
      <c r="W17" s="548">
        <v>19</v>
      </c>
      <c r="X17" s="548">
        <v>20</v>
      </c>
      <c r="Y17" s="548">
        <v>21</v>
      </c>
      <c r="Z17" s="548">
        <v>22</v>
      </c>
      <c r="AA17" s="548">
        <v>23</v>
      </c>
      <c r="AB17" s="541">
        <v>24</v>
      </c>
      <c r="AC17" s="770">
        <v>25</v>
      </c>
      <c r="AD17" s="548">
        <v>26</v>
      </c>
      <c r="AE17" s="548">
        <v>27</v>
      </c>
      <c r="AF17" s="548">
        <v>28</v>
      </c>
      <c r="AG17" s="548">
        <v>29</v>
      </c>
      <c r="AH17" s="548">
        <v>30</v>
      </c>
      <c r="AI17" s="548">
        <v>31</v>
      </c>
      <c r="AJ17" s="771">
        <v>1</v>
      </c>
      <c r="AK17" s="541" t="s">
        <v>13</v>
      </c>
    </row>
    <row r="18" spans="1:37" ht="12.75" customHeight="1">
      <c r="A18" s="619"/>
      <c r="B18" s="619"/>
      <c r="C18" s="619"/>
      <c r="D18" s="619"/>
      <c r="E18" s="619"/>
      <c r="F18" s="619"/>
      <c r="G18" s="619"/>
      <c r="H18" s="619"/>
      <c r="I18" s="619"/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619"/>
      <c r="AA18" s="619"/>
      <c r="AB18" s="619"/>
      <c r="AC18" s="619"/>
      <c r="AD18" s="619"/>
      <c r="AE18" s="619"/>
      <c r="AF18" s="619"/>
      <c r="AG18" s="619"/>
      <c r="AH18" s="619"/>
      <c r="AI18" s="619"/>
      <c r="AJ18" s="619"/>
      <c r="AK18" s="619"/>
    </row>
    <row r="19" spans="1:37" ht="12.75" customHeight="1">
      <c r="A19" s="541" t="s">
        <v>14</v>
      </c>
      <c r="B19" s="767">
        <v>26</v>
      </c>
      <c r="C19" s="767">
        <v>27</v>
      </c>
      <c r="D19" s="767">
        <v>28</v>
      </c>
      <c r="E19" s="768">
        <v>29</v>
      </c>
      <c r="F19" s="768">
        <v>30</v>
      </c>
      <c r="G19" s="768">
        <v>31</v>
      </c>
      <c r="H19" s="770">
        <v>1</v>
      </c>
      <c r="I19" s="541">
        <v>2</v>
      </c>
      <c r="J19" s="541">
        <v>3</v>
      </c>
      <c r="K19" s="541">
        <v>4</v>
      </c>
      <c r="L19" s="541">
        <v>5</v>
      </c>
      <c r="M19" s="541">
        <v>6</v>
      </c>
      <c r="N19" s="541">
        <v>7</v>
      </c>
      <c r="O19" s="770">
        <v>8</v>
      </c>
      <c r="P19" s="541">
        <v>9</v>
      </c>
      <c r="Q19" s="541">
        <v>10</v>
      </c>
      <c r="R19" s="772">
        <v>11</v>
      </c>
      <c r="S19" s="541">
        <v>12</v>
      </c>
      <c r="T19" s="541">
        <v>13</v>
      </c>
      <c r="U19" s="541">
        <v>14</v>
      </c>
      <c r="V19" s="770">
        <v>15</v>
      </c>
      <c r="W19" s="777">
        <v>16</v>
      </c>
      <c r="X19" s="778">
        <v>17</v>
      </c>
      <c r="Y19" s="546">
        <v>18</v>
      </c>
      <c r="Z19" s="546">
        <v>19</v>
      </c>
      <c r="AA19" s="541">
        <v>20</v>
      </c>
      <c r="AB19" s="541">
        <v>21</v>
      </c>
      <c r="AC19" s="770">
        <v>22</v>
      </c>
      <c r="AD19" s="546">
        <v>23</v>
      </c>
      <c r="AE19" s="546">
        <v>24</v>
      </c>
      <c r="AF19" s="546">
        <v>25</v>
      </c>
      <c r="AG19" s="546">
        <v>26</v>
      </c>
      <c r="AH19" s="541">
        <v>27</v>
      </c>
      <c r="AI19" s="541">
        <v>28</v>
      </c>
      <c r="AJ19" s="771">
        <v>29</v>
      </c>
      <c r="AK19" s="541" t="s">
        <v>14</v>
      </c>
    </row>
    <row r="20" spans="1:37" ht="12.75" customHeight="1">
      <c r="A20" s="619"/>
      <c r="B20" s="619"/>
      <c r="C20" s="619"/>
      <c r="D20" s="619"/>
      <c r="E20" s="619"/>
      <c r="F20" s="619"/>
      <c r="G20" s="619"/>
      <c r="H20" s="619"/>
      <c r="I20" s="619"/>
      <c r="J20" s="619"/>
      <c r="K20" s="619"/>
      <c r="L20" s="619"/>
      <c r="M20" s="619"/>
      <c r="N20" s="619"/>
      <c r="O20" s="619"/>
      <c r="P20" s="773"/>
      <c r="Q20" s="773"/>
      <c r="R20" s="773"/>
      <c r="S20" s="773"/>
      <c r="T20" s="773"/>
      <c r="U20" s="773"/>
      <c r="V20" s="619"/>
      <c r="W20" s="773"/>
      <c r="X20" s="773"/>
      <c r="Y20" s="773"/>
      <c r="Z20" s="773"/>
      <c r="AA20" s="773"/>
      <c r="AB20" s="773"/>
      <c r="AC20" s="619"/>
      <c r="AD20" s="773"/>
      <c r="AE20" s="773"/>
      <c r="AF20" s="773"/>
      <c r="AG20" s="773"/>
      <c r="AH20" s="773"/>
      <c r="AI20" s="773"/>
      <c r="AJ20" s="619"/>
      <c r="AK20" s="619"/>
    </row>
    <row r="21" spans="1:37" ht="12.75" customHeight="1">
      <c r="A21" s="541" t="s">
        <v>15</v>
      </c>
      <c r="B21" s="767">
        <v>30</v>
      </c>
      <c r="C21" s="767">
        <v>31</v>
      </c>
      <c r="D21" s="548">
        <v>1</v>
      </c>
      <c r="E21" s="548">
        <v>2</v>
      </c>
      <c r="F21" s="548">
        <v>3</v>
      </c>
      <c r="G21" s="548">
        <v>4</v>
      </c>
      <c r="H21" s="770">
        <v>5</v>
      </c>
      <c r="I21" s="541">
        <v>6</v>
      </c>
      <c r="J21" s="541">
        <v>7</v>
      </c>
      <c r="K21" s="541">
        <v>8</v>
      </c>
      <c r="L21" s="541">
        <v>9</v>
      </c>
      <c r="M21" s="541">
        <v>10</v>
      </c>
      <c r="N21" s="541">
        <v>11</v>
      </c>
      <c r="O21" s="770">
        <v>12</v>
      </c>
      <c r="P21" s="541">
        <v>13</v>
      </c>
      <c r="Q21" s="541">
        <v>14</v>
      </c>
      <c r="R21" s="548">
        <v>15</v>
      </c>
      <c r="S21" s="541">
        <v>16</v>
      </c>
      <c r="T21" s="541">
        <v>17</v>
      </c>
      <c r="U21" s="541">
        <v>18</v>
      </c>
      <c r="V21" s="770">
        <v>19</v>
      </c>
      <c r="W21" s="546">
        <v>20</v>
      </c>
      <c r="X21" s="546">
        <v>21</v>
      </c>
      <c r="Y21" s="546">
        <v>22</v>
      </c>
      <c r="Z21" s="546">
        <v>23</v>
      </c>
      <c r="AA21" s="541">
        <v>24</v>
      </c>
      <c r="AB21" s="541">
        <v>25</v>
      </c>
      <c r="AC21" s="770">
        <v>26</v>
      </c>
      <c r="AD21" s="546">
        <v>27</v>
      </c>
      <c r="AE21" s="546">
        <v>28</v>
      </c>
      <c r="AF21" s="546">
        <v>29</v>
      </c>
      <c r="AG21" s="546">
        <v>30</v>
      </c>
      <c r="AH21" s="768">
        <v>1</v>
      </c>
      <c r="AI21" s="768">
        <v>2</v>
      </c>
      <c r="AJ21" s="771">
        <v>3</v>
      </c>
      <c r="AK21" s="541" t="s">
        <v>15</v>
      </c>
    </row>
    <row r="22" spans="1:37" ht="12.75" customHeight="1">
      <c r="A22" s="619"/>
      <c r="B22" s="773"/>
      <c r="C22" s="773"/>
      <c r="D22" s="619"/>
      <c r="E22" s="619"/>
      <c r="F22" s="619"/>
      <c r="G22" s="619"/>
      <c r="H22" s="619"/>
      <c r="I22" s="619"/>
      <c r="J22" s="619"/>
      <c r="K22" s="619"/>
      <c r="L22" s="619"/>
      <c r="M22" s="619"/>
      <c r="N22" s="619"/>
      <c r="O22" s="619"/>
      <c r="P22" s="773"/>
      <c r="Q22" s="773"/>
      <c r="R22" s="773"/>
      <c r="S22" s="773"/>
      <c r="T22" s="773"/>
      <c r="U22" s="773"/>
      <c r="V22" s="619"/>
      <c r="W22" s="773"/>
      <c r="X22" s="773"/>
      <c r="Y22" s="773"/>
      <c r="Z22" s="773"/>
      <c r="AA22" s="773"/>
      <c r="AB22" s="773"/>
      <c r="AC22" s="619"/>
      <c r="AD22" s="773"/>
      <c r="AE22" s="773"/>
      <c r="AF22" s="773"/>
      <c r="AG22" s="773"/>
      <c r="AH22" s="773"/>
      <c r="AI22" s="773"/>
      <c r="AJ22" s="619"/>
      <c r="AK22" s="619"/>
    </row>
    <row r="23" spans="1:37" ht="12.75" customHeight="1">
      <c r="A23" s="541" t="s">
        <v>16</v>
      </c>
      <c r="B23" s="768">
        <v>27</v>
      </c>
      <c r="C23" s="768">
        <v>28</v>
      </c>
      <c r="D23" s="768">
        <v>29</v>
      </c>
      <c r="E23" s="768">
        <v>30</v>
      </c>
      <c r="F23" s="548">
        <v>1</v>
      </c>
      <c r="G23" s="548">
        <v>2</v>
      </c>
      <c r="H23" s="770">
        <v>3</v>
      </c>
      <c r="I23" s="541">
        <v>4</v>
      </c>
      <c r="J23" s="541">
        <v>5</v>
      </c>
      <c r="K23" s="541">
        <v>6</v>
      </c>
      <c r="L23" s="541">
        <v>7</v>
      </c>
      <c r="M23" s="541">
        <v>8</v>
      </c>
      <c r="N23" s="548">
        <v>9</v>
      </c>
      <c r="O23" s="770">
        <v>10</v>
      </c>
      <c r="P23" s="772">
        <v>11</v>
      </c>
      <c r="Q23" s="541">
        <v>12</v>
      </c>
      <c r="R23" s="541">
        <v>13</v>
      </c>
      <c r="S23" s="546">
        <v>14</v>
      </c>
      <c r="T23" s="541">
        <v>15</v>
      </c>
      <c r="U23" s="541">
        <v>16</v>
      </c>
      <c r="V23" s="770">
        <v>17</v>
      </c>
      <c r="W23" s="546">
        <v>18</v>
      </c>
      <c r="X23" s="546">
        <v>19</v>
      </c>
      <c r="Y23" s="546">
        <v>20</v>
      </c>
      <c r="Z23" s="546">
        <v>21</v>
      </c>
      <c r="AA23" s="541">
        <v>22</v>
      </c>
      <c r="AB23" s="541">
        <v>23</v>
      </c>
      <c r="AC23" s="770">
        <v>24</v>
      </c>
      <c r="AD23" s="546">
        <v>25</v>
      </c>
      <c r="AE23" s="546">
        <v>26</v>
      </c>
      <c r="AF23" s="546">
        <v>27</v>
      </c>
      <c r="AG23" s="546">
        <v>28</v>
      </c>
      <c r="AH23" s="548">
        <v>29</v>
      </c>
      <c r="AI23" s="548">
        <v>30</v>
      </c>
      <c r="AJ23" s="771">
        <v>31</v>
      </c>
      <c r="AK23" s="541" t="s">
        <v>16</v>
      </c>
    </row>
    <row r="24" spans="1:37" ht="12.75" customHeight="1">
      <c r="A24" s="619"/>
      <c r="B24" s="773"/>
      <c r="C24" s="773"/>
      <c r="D24" s="619"/>
      <c r="E24" s="619"/>
      <c r="F24" s="619"/>
      <c r="G24" s="619"/>
      <c r="H24" s="619"/>
      <c r="I24" s="619"/>
      <c r="J24" s="619"/>
      <c r="K24" s="619"/>
      <c r="L24" s="619"/>
      <c r="M24" s="619"/>
      <c r="N24" s="619"/>
      <c r="O24" s="619"/>
      <c r="P24" s="773"/>
      <c r="Q24" s="773"/>
      <c r="R24" s="773"/>
      <c r="S24" s="773"/>
      <c r="T24" s="773"/>
      <c r="U24" s="773"/>
      <c r="V24" s="619"/>
      <c r="W24" s="773"/>
      <c r="X24" s="773"/>
      <c r="Y24" s="773"/>
      <c r="Z24" s="773"/>
      <c r="AA24" s="773"/>
      <c r="AB24" s="773"/>
      <c r="AC24" s="619"/>
      <c r="AD24" s="773"/>
      <c r="AE24" s="773"/>
      <c r="AF24" s="773"/>
      <c r="AG24" s="619"/>
      <c r="AH24" s="619"/>
      <c r="AI24" s="619"/>
      <c r="AJ24" s="619"/>
      <c r="AK24" s="619"/>
    </row>
    <row r="25" spans="1:37" ht="12.75" customHeight="1">
      <c r="A25" s="541" t="s">
        <v>17</v>
      </c>
      <c r="B25" s="548">
        <v>1</v>
      </c>
      <c r="C25" s="548">
        <v>2</v>
      </c>
      <c r="D25" s="548">
        <v>3</v>
      </c>
      <c r="E25" s="548">
        <v>4</v>
      </c>
      <c r="F25" s="548">
        <v>5</v>
      </c>
      <c r="G25" s="548">
        <v>6</v>
      </c>
      <c r="H25" s="770">
        <v>7</v>
      </c>
      <c r="I25" s="541">
        <v>8</v>
      </c>
      <c r="J25" s="541">
        <v>9</v>
      </c>
      <c r="K25" s="541">
        <v>10</v>
      </c>
      <c r="L25" s="541">
        <v>11</v>
      </c>
      <c r="M25" s="541">
        <v>12</v>
      </c>
      <c r="N25" s="541">
        <v>13</v>
      </c>
      <c r="O25" s="770">
        <v>14</v>
      </c>
      <c r="P25" s="541">
        <v>15</v>
      </c>
      <c r="Q25" s="541">
        <v>16</v>
      </c>
      <c r="R25" s="541">
        <v>17</v>
      </c>
      <c r="S25" s="541">
        <v>18</v>
      </c>
      <c r="T25" s="541">
        <v>19</v>
      </c>
      <c r="U25" s="541">
        <v>20</v>
      </c>
      <c r="V25" s="770">
        <v>21</v>
      </c>
      <c r="W25" s="772">
        <v>22</v>
      </c>
      <c r="X25" s="541">
        <v>23</v>
      </c>
      <c r="Y25" s="541">
        <v>24</v>
      </c>
      <c r="Z25" s="541">
        <v>25</v>
      </c>
      <c r="AA25" s="541">
        <v>26</v>
      </c>
      <c r="AB25" s="541">
        <v>27</v>
      </c>
      <c r="AC25" s="770">
        <v>28</v>
      </c>
      <c r="AD25" s="541">
        <v>29</v>
      </c>
      <c r="AE25" s="541">
        <v>30</v>
      </c>
      <c r="AF25" s="768">
        <v>1</v>
      </c>
      <c r="AG25" s="768">
        <v>2</v>
      </c>
      <c r="AH25" s="768">
        <v>3</v>
      </c>
      <c r="AI25" s="768">
        <v>4</v>
      </c>
      <c r="AJ25" s="771">
        <v>5</v>
      </c>
      <c r="AK25" s="541" t="s">
        <v>17</v>
      </c>
    </row>
    <row r="26" spans="1:37" ht="12.75" customHeight="1">
      <c r="A26" s="619"/>
      <c r="B26" s="619"/>
      <c r="C26" s="619"/>
      <c r="D26" s="619"/>
      <c r="E26" s="619"/>
      <c r="F26" s="619"/>
      <c r="G26" s="619"/>
      <c r="H26" s="619"/>
      <c r="I26" s="619"/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  <c r="W26" s="619"/>
      <c r="X26" s="619"/>
      <c r="Y26" s="619"/>
      <c r="Z26" s="619"/>
      <c r="AA26" s="619"/>
      <c r="AB26" s="619"/>
      <c r="AC26" s="619"/>
      <c r="AD26" s="619"/>
      <c r="AE26" s="619"/>
      <c r="AF26" s="619"/>
      <c r="AG26" s="619"/>
      <c r="AH26" s="619"/>
      <c r="AI26" s="619"/>
      <c r="AJ26" s="619"/>
      <c r="AK26" s="619"/>
    </row>
    <row r="27" spans="1:37" ht="12.75" customHeight="1">
      <c r="A27" s="541" t="s">
        <v>18</v>
      </c>
      <c r="B27" s="767">
        <v>29</v>
      </c>
      <c r="C27" s="767">
        <v>30</v>
      </c>
      <c r="D27" s="548">
        <v>1</v>
      </c>
      <c r="E27" s="548">
        <v>2</v>
      </c>
      <c r="F27" s="548">
        <v>3</v>
      </c>
      <c r="G27" s="548">
        <v>4</v>
      </c>
      <c r="H27" s="770">
        <v>5</v>
      </c>
      <c r="I27" s="541">
        <v>6</v>
      </c>
      <c r="J27" s="541">
        <v>7</v>
      </c>
      <c r="K27" s="772">
        <v>8</v>
      </c>
      <c r="L27" s="541">
        <v>9</v>
      </c>
      <c r="M27" s="541">
        <v>10</v>
      </c>
      <c r="N27" s="541">
        <v>11</v>
      </c>
      <c r="O27" s="776">
        <v>12</v>
      </c>
      <c r="P27" s="541">
        <v>13</v>
      </c>
      <c r="Q27" s="541">
        <v>14</v>
      </c>
      <c r="R27" s="541">
        <v>15</v>
      </c>
      <c r="S27" s="541">
        <v>16</v>
      </c>
      <c r="T27" s="541">
        <v>17</v>
      </c>
      <c r="U27" s="541">
        <v>18</v>
      </c>
      <c r="V27" s="770">
        <v>19</v>
      </c>
      <c r="W27" s="541">
        <v>20</v>
      </c>
      <c r="X27" s="541">
        <v>21</v>
      </c>
      <c r="Y27" s="541">
        <v>22</v>
      </c>
      <c r="Z27" s="541">
        <v>23</v>
      </c>
      <c r="AA27" s="541">
        <v>24</v>
      </c>
      <c r="AB27" s="541">
        <v>25</v>
      </c>
      <c r="AC27" s="770">
        <v>26</v>
      </c>
      <c r="AD27" s="541">
        <v>27</v>
      </c>
      <c r="AE27" s="548">
        <v>28</v>
      </c>
      <c r="AF27" s="548">
        <v>29</v>
      </c>
      <c r="AG27" s="548">
        <v>30</v>
      </c>
      <c r="AH27" s="548">
        <v>31</v>
      </c>
      <c r="AI27" s="768">
        <v>1</v>
      </c>
      <c r="AJ27" s="771">
        <v>2</v>
      </c>
      <c r="AK27" s="541" t="s">
        <v>18</v>
      </c>
    </row>
    <row r="28" spans="1:37" ht="12.75" customHeight="1">
      <c r="A28" s="513"/>
      <c r="B28" s="823"/>
      <c r="C28" s="823"/>
      <c r="D28" s="823"/>
      <c r="E28" s="823"/>
      <c r="F28" s="823"/>
      <c r="G28" s="823"/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14"/>
      <c r="W28" s="514"/>
      <c r="X28" s="514"/>
      <c r="Y28" s="514"/>
      <c r="Z28" s="514"/>
      <c r="AA28" s="514"/>
      <c r="AB28" s="514"/>
      <c r="AC28" s="514"/>
      <c r="AD28" s="823"/>
      <c r="AE28" s="823"/>
      <c r="AF28" s="823"/>
      <c r="AG28" s="823"/>
      <c r="AH28" s="515"/>
      <c r="AI28" s="515"/>
      <c r="AJ28" s="515"/>
      <c r="AK28" s="513"/>
    </row>
    <row r="29" spans="1:37" ht="12.75" customHeight="1">
      <c r="A29" s="488">
        <v>2019</v>
      </c>
      <c r="B29" s="488" t="s">
        <v>0</v>
      </c>
      <c r="C29" s="488" t="s">
        <v>1</v>
      </c>
      <c r="D29" s="488" t="s">
        <v>2</v>
      </c>
      <c r="E29" s="488" t="s">
        <v>3</v>
      </c>
      <c r="F29" s="488" t="s">
        <v>4</v>
      </c>
      <c r="G29" s="488" t="s">
        <v>5</v>
      </c>
      <c r="H29" s="488" t="s">
        <v>6</v>
      </c>
      <c r="I29" s="488" t="s">
        <v>0</v>
      </c>
      <c r="J29" s="488" t="s">
        <v>1</v>
      </c>
      <c r="K29" s="488" t="s">
        <v>2</v>
      </c>
      <c r="L29" s="488" t="s">
        <v>3</v>
      </c>
      <c r="M29" s="488" t="s">
        <v>4</v>
      </c>
      <c r="N29" s="488" t="s">
        <v>5</v>
      </c>
      <c r="O29" s="488" t="s">
        <v>6</v>
      </c>
      <c r="P29" s="488" t="s">
        <v>0</v>
      </c>
      <c r="Q29" s="488" t="s">
        <v>1</v>
      </c>
      <c r="R29" s="488" t="s">
        <v>2</v>
      </c>
      <c r="S29" s="488" t="s">
        <v>3</v>
      </c>
      <c r="T29" s="488" t="s">
        <v>4</v>
      </c>
      <c r="U29" s="488" t="s">
        <v>5</v>
      </c>
      <c r="V29" s="488" t="s">
        <v>6</v>
      </c>
      <c r="W29" s="488" t="s">
        <v>0</v>
      </c>
      <c r="X29" s="488" t="s">
        <v>1</v>
      </c>
      <c r="Y29" s="488" t="s">
        <v>2</v>
      </c>
      <c r="Z29" s="488" t="s">
        <v>3</v>
      </c>
      <c r="AA29" s="488" t="s">
        <v>4</v>
      </c>
      <c r="AB29" s="488" t="s">
        <v>5</v>
      </c>
      <c r="AC29" s="488" t="s">
        <v>6</v>
      </c>
      <c r="AD29" s="488" t="s">
        <v>0</v>
      </c>
      <c r="AE29" s="488" t="s">
        <v>1</v>
      </c>
      <c r="AF29" s="488" t="s">
        <v>2</v>
      </c>
      <c r="AG29" s="488" t="s">
        <v>3</v>
      </c>
      <c r="AH29" s="488" t="s">
        <v>4</v>
      </c>
      <c r="AI29" s="488" t="s">
        <v>5</v>
      </c>
      <c r="AJ29" s="488" t="s">
        <v>6</v>
      </c>
      <c r="AK29" s="488">
        <v>2019</v>
      </c>
    </row>
    <row r="30" spans="1:37" ht="12.75" customHeight="1">
      <c r="A30" s="488" t="s">
        <v>7</v>
      </c>
      <c r="B30" s="490">
        <v>31</v>
      </c>
      <c r="C30" s="491">
        <v>1</v>
      </c>
      <c r="D30" s="491">
        <v>2</v>
      </c>
      <c r="E30" s="491">
        <v>3</v>
      </c>
      <c r="F30" s="491">
        <v>4</v>
      </c>
      <c r="G30" s="491">
        <v>5</v>
      </c>
      <c r="H30" s="492">
        <v>6</v>
      </c>
      <c r="I30" s="491">
        <v>7</v>
      </c>
      <c r="J30" s="491">
        <v>8</v>
      </c>
      <c r="K30" s="491">
        <v>9</v>
      </c>
      <c r="L30" s="491">
        <v>10</v>
      </c>
      <c r="M30" s="491">
        <v>11</v>
      </c>
      <c r="N30" s="491">
        <v>12</v>
      </c>
      <c r="O30" s="492">
        <v>13</v>
      </c>
      <c r="P30" s="491">
        <v>14</v>
      </c>
      <c r="Q30" s="491">
        <v>15</v>
      </c>
      <c r="R30" s="491">
        <v>16</v>
      </c>
      <c r="S30" s="491">
        <v>17</v>
      </c>
      <c r="T30" s="491">
        <v>18</v>
      </c>
      <c r="U30" s="491">
        <v>19</v>
      </c>
      <c r="V30" s="492">
        <v>20</v>
      </c>
      <c r="W30" s="491">
        <v>21</v>
      </c>
      <c r="X30" s="491">
        <v>22</v>
      </c>
      <c r="Y30" s="491">
        <v>23</v>
      </c>
      <c r="Z30" s="491">
        <v>24</v>
      </c>
      <c r="AA30" s="491">
        <v>25</v>
      </c>
      <c r="AB30" s="491">
        <v>26</v>
      </c>
      <c r="AC30" s="492">
        <v>27</v>
      </c>
      <c r="AD30" s="491">
        <v>28</v>
      </c>
      <c r="AE30" s="491">
        <v>29</v>
      </c>
      <c r="AF30" s="491">
        <v>30</v>
      </c>
      <c r="AG30" s="491">
        <v>31</v>
      </c>
      <c r="AH30" s="490">
        <v>1</v>
      </c>
      <c r="AI30" s="490">
        <v>2</v>
      </c>
      <c r="AJ30" s="493">
        <v>3</v>
      </c>
      <c r="AK30" s="488" t="s">
        <v>7</v>
      </c>
    </row>
    <row r="31" spans="1:37" ht="12.75" customHeight="1">
      <c r="A31" s="488" t="s">
        <v>8</v>
      </c>
      <c r="B31" s="490">
        <v>28</v>
      </c>
      <c r="C31" s="490">
        <v>29</v>
      </c>
      <c r="D31" s="490">
        <v>30</v>
      </c>
      <c r="E31" s="490">
        <v>31</v>
      </c>
      <c r="F31" s="491">
        <v>1</v>
      </c>
      <c r="G31" s="491">
        <v>3</v>
      </c>
      <c r="H31" s="492">
        <v>4</v>
      </c>
      <c r="I31" s="491">
        <v>5</v>
      </c>
      <c r="J31" s="491">
        <v>6</v>
      </c>
      <c r="K31" s="491">
        <v>7</v>
      </c>
      <c r="L31" s="491">
        <v>8</v>
      </c>
      <c r="M31" s="491">
        <v>9</v>
      </c>
      <c r="N31" s="491">
        <v>10</v>
      </c>
      <c r="O31" s="492">
        <v>11</v>
      </c>
      <c r="P31" s="491">
        <v>12</v>
      </c>
      <c r="Q31" s="491">
        <v>13</v>
      </c>
      <c r="R31" s="491">
        <v>14</v>
      </c>
      <c r="S31" s="491">
        <v>15</v>
      </c>
      <c r="T31" s="491">
        <v>16</v>
      </c>
      <c r="U31" s="491">
        <v>17</v>
      </c>
      <c r="V31" s="492">
        <v>18</v>
      </c>
      <c r="W31" s="494">
        <v>19</v>
      </c>
      <c r="X31" s="494">
        <v>20</v>
      </c>
      <c r="Y31" s="494">
        <v>21</v>
      </c>
      <c r="Z31" s="494">
        <v>22</v>
      </c>
      <c r="AA31" s="491">
        <v>23</v>
      </c>
      <c r="AB31" s="491">
        <v>24</v>
      </c>
      <c r="AC31" s="492">
        <v>25</v>
      </c>
      <c r="AD31" s="494">
        <v>26</v>
      </c>
      <c r="AE31" s="494">
        <v>27</v>
      </c>
      <c r="AF31" s="491">
        <v>28</v>
      </c>
      <c r="AG31" s="491">
        <v>29</v>
      </c>
      <c r="AH31" s="490">
        <v>1</v>
      </c>
      <c r="AI31" s="490">
        <v>2</v>
      </c>
      <c r="AJ31" s="493">
        <v>3</v>
      </c>
      <c r="AK31" s="488" t="s">
        <v>8</v>
      </c>
    </row>
    <row r="32" spans="1:37" ht="12.75" customHeight="1">
      <c r="A32" s="488" t="s">
        <v>1</v>
      </c>
      <c r="B32" s="490">
        <v>25</v>
      </c>
      <c r="C32" s="490">
        <v>26</v>
      </c>
      <c r="D32" s="490">
        <v>27</v>
      </c>
      <c r="E32" s="490">
        <v>28</v>
      </c>
      <c r="F32" s="491">
        <v>1</v>
      </c>
      <c r="G32" s="491">
        <v>2</v>
      </c>
      <c r="H32" s="492">
        <v>3</v>
      </c>
      <c r="I32" s="495">
        <v>4</v>
      </c>
      <c r="J32" s="495">
        <v>5</v>
      </c>
      <c r="K32" s="491">
        <v>6</v>
      </c>
      <c r="L32" s="491">
        <v>7</v>
      </c>
      <c r="M32" s="491">
        <v>8</v>
      </c>
      <c r="N32" s="491">
        <v>9</v>
      </c>
      <c r="O32" s="492">
        <v>10</v>
      </c>
      <c r="P32" s="491">
        <v>11</v>
      </c>
      <c r="Q32" s="491">
        <v>12</v>
      </c>
      <c r="R32" s="491">
        <v>13</v>
      </c>
      <c r="S32" s="491">
        <v>14</v>
      </c>
      <c r="T32" s="491">
        <v>15</v>
      </c>
      <c r="U32" s="491">
        <v>16</v>
      </c>
      <c r="V32" s="492">
        <v>17</v>
      </c>
      <c r="W32" s="494">
        <v>18</v>
      </c>
      <c r="X32" s="494">
        <v>19</v>
      </c>
      <c r="Y32" s="494">
        <v>20</v>
      </c>
      <c r="Z32" s="494">
        <v>21</v>
      </c>
      <c r="AA32" s="491">
        <v>22</v>
      </c>
      <c r="AB32" s="491">
        <v>23</v>
      </c>
      <c r="AC32" s="496">
        <v>24</v>
      </c>
      <c r="AD32" s="494">
        <v>25</v>
      </c>
      <c r="AE32" s="494">
        <v>26</v>
      </c>
      <c r="AF32" s="491">
        <v>27</v>
      </c>
      <c r="AG32" s="491">
        <v>28</v>
      </c>
      <c r="AH32" s="491">
        <v>29</v>
      </c>
      <c r="AI32" s="491">
        <v>30</v>
      </c>
      <c r="AJ32" s="493">
        <v>31</v>
      </c>
      <c r="AK32" s="488" t="s">
        <v>1</v>
      </c>
    </row>
    <row r="33" spans="1:37" ht="12.75" customHeight="1">
      <c r="A33" s="488" t="s">
        <v>10</v>
      </c>
      <c r="B33" s="491">
        <v>1</v>
      </c>
      <c r="C33" s="495">
        <v>2</v>
      </c>
      <c r="D33" s="491">
        <v>3</v>
      </c>
      <c r="E33" s="491">
        <v>4</v>
      </c>
      <c r="F33" s="491">
        <v>5</v>
      </c>
      <c r="G33" s="491">
        <v>6</v>
      </c>
      <c r="H33" s="492">
        <v>7</v>
      </c>
      <c r="I33" s="491">
        <v>8</v>
      </c>
      <c r="J33" s="491">
        <v>9</v>
      </c>
      <c r="K33" s="491">
        <v>10</v>
      </c>
      <c r="L33" s="491">
        <v>11</v>
      </c>
      <c r="M33" s="491">
        <v>12</v>
      </c>
      <c r="N33" s="491">
        <v>13</v>
      </c>
      <c r="O33" s="492">
        <v>14</v>
      </c>
      <c r="P33" s="491">
        <v>15</v>
      </c>
      <c r="Q33" s="491">
        <v>16</v>
      </c>
      <c r="R33" s="491">
        <v>17</v>
      </c>
      <c r="S33" s="495">
        <v>18</v>
      </c>
      <c r="T33" s="495">
        <v>19</v>
      </c>
      <c r="U33" s="491">
        <v>20</v>
      </c>
      <c r="V33" s="492">
        <v>21</v>
      </c>
      <c r="W33" s="494">
        <v>22</v>
      </c>
      <c r="X33" s="494">
        <v>23</v>
      </c>
      <c r="Y33" s="494">
        <v>24</v>
      </c>
      <c r="Z33" s="494">
        <v>25</v>
      </c>
      <c r="AA33" s="491">
        <v>26</v>
      </c>
      <c r="AB33" s="491">
        <v>27</v>
      </c>
      <c r="AC33" s="492">
        <v>28</v>
      </c>
      <c r="AD33" s="494">
        <v>29</v>
      </c>
      <c r="AE33" s="494">
        <v>30</v>
      </c>
      <c r="AF33" s="490">
        <v>1</v>
      </c>
      <c r="AG33" s="490">
        <v>2</v>
      </c>
      <c r="AH33" s="490">
        <v>3</v>
      </c>
      <c r="AI33" s="490">
        <v>4</v>
      </c>
      <c r="AJ33" s="493">
        <v>5</v>
      </c>
      <c r="AK33" s="488" t="s">
        <v>10</v>
      </c>
    </row>
    <row r="34" spans="1:37" ht="12.75" customHeight="1">
      <c r="A34" s="488" t="s">
        <v>11</v>
      </c>
      <c r="B34" s="490">
        <v>29</v>
      </c>
      <c r="C34" s="490">
        <v>30</v>
      </c>
      <c r="D34" s="495">
        <v>1</v>
      </c>
      <c r="E34" s="491">
        <v>2</v>
      </c>
      <c r="F34" s="491">
        <v>3</v>
      </c>
      <c r="G34" s="491">
        <v>4</v>
      </c>
      <c r="H34" s="492">
        <v>5</v>
      </c>
      <c r="I34" s="491">
        <v>6</v>
      </c>
      <c r="J34" s="491">
        <v>7</v>
      </c>
      <c r="K34" s="491">
        <v>8</v>
      </c>
      <c r="L34" s="491">
        <v>9</v>
      </c>
      <c r="M34" s="491">
        <v>10</v>
      </c>
      <c r="N34" s="491">
        <v>11</v>
      </c>
      <c r="O34" s="492">
        <v>12</v>
      </c>
      <c r="P34" s="491">
        <v>13</v>
      </c>
      <c r="Q34" s="491">
        <v>14</v>
      </c>
      <c r="R34" s="491">
        <v>15</v>
      </c>
      <c r="S34" s="491">
        <v>16</v>
      </c>
      <c r="T34" s="491">
        <v>17</v>
      </c>
      <c r="U34" s="491">
        <v>18</v>
      </c>
      <c r="V34" s="492">
        <v>19</v>
      </c>
      <c r="W34" s="494">
        <v>20</v>
      </c>
      <c r="X34" s="494">
        <v>21</v>
      </c>
      <c r="Y34" s="494">
        <v>22</v>
      </c>
      <c r="Z34" s="494">
        <v>23</v>
      </c>
      <c r="AA34" s="491">
        <v>24</v>
      </c>
      <c r="AB34" s="495">
        <v>25</v>
      </c>
      <c r="AC34" s="492">
        <v>26</v>
      </c>
      <c r="AD34" s="494">
        <v>27</v>
      </c>
      <c r="AE34" s="494">
        <v>28</v>
      </c>
      <c r="AF34" s="491">
        <v>29</v>
      </c>
      <c r="AG34" s="491">
        <v>30</v>
      </c>
      <c r="AH34" s="491">
        <v>31</v>
      </c>
      <c r="AI34" s="490">
        <v>1</v>
      </c>
      <c r="AJ34" s="493">
        <v>2</v>
      </c>
      <c r="AK34" s="488" t="s">
        <v>11</v>
      </c>
    </row>
    <row r="35" spans="1:37" ht="12.75" customHeight="1">
      <c r="A35" s="488" t="s">
        <v>12</v>
      </c>
      <c r="B35" s="490">
        <v>27</v>
      </c>
      <c r="C35" s="490">
        <v>28</v>
      </c>
      <c r="D35" s="490">
        <v>29</v>
      </c>
      <c r="E35" s="490">
        <v>30</v>
      </c>
      <c r="F35" s="490">
        <v>31</v>
      </c>
      <c r="G35" s="491">
        <v>1</v>
      </c>
      <c r="H35" s="492">
        <v>2</v>
      </c>
      <c r="I35" s="491">
        <v>3</v>
      </c>
      <c r="J35" s="491">
        <v>4</v>
      </c>
      <c r="K35" s="491">
        <v>5</v>
      </c>
      <c r="L35" s="491">
        <v>6</v>
      </c>
      <c r="M35" s="491">
        <v>7</v>
      </c>
      <c r="N35" s="491">
        <v>8</v>
      </c>
      <c r="O35" s="492">
        <v>9</v>
      </c>
      <c r="P35" s="491">
        <v>10</v>
      </c>
      <c r="Q35" s="491">
        <v>11</v>
      </c>
      <c r="R35" s="491">
        <v>12</v>
      </c>
      <c r="S35" s="491">
        <v>13</v>
      </c>
      <c r="T35" s="491">
        <v>14</v>
      </c>
      <c r="U35" s="491">
        <v>15</v>
      </c>
      <c r="V35" s="497">
        <v>16</v>
      </c>
      <c r="W35" s="498">
        <v>17</v>
      </c>
      <c r="X35" s="499">
        <v>18</v>
      </c>
      <c r="Y35" s="499">
        <v>19</v>
      </c>
      <c r="Z35" s="498">
        <v>20</v>
      </c>
      <c r="AA35" s="500">
        <v>21</v>
      </c>
      <c r="AB35" s="500">
        <v>22</v>
      </c>
      <c r="AC35" s="497">
        <v>23</v>
      </c>
      <c r="AD35" s="499">
        <v>24</v>
      </c>
      <c r="AE35" s="499">
        <v>25</v>
      </c>
      <c r="AF35" s="500">
        <v>26</v>
      </c>
      <c r="AG35" s="500">
        <v>27</v>
      </c>
      <c r="AH35" s="500">
        <v>28</v>
      </c>
      <c r="AI35" s="500">
        <v>29</v>
      </c>
      <c r="AJ35" s="501">
        <v>30</v>
      </c>
      <c r="AK35" s="488" t="s">
        <v>12</v>
      </c>
    </row>
    <row r="36" spans="1:37" ht="12.75" customHeight="1">
      <c r="A36" s="488" t="s">
        <v>13</v>
      </c>
      <c r="B36" s="494">
        <v>1</v>
      </c>
      <c r="C36" s="494">
        <v>2</v>
      </c>
      <c r="D36" s="491">
        <v>3</v>
      </c>
      <c r="E36" s="491">
        <v>4</v>
      </c>
      <c r="F36" s="491">
        <v>5</v>
      </c>
      <c r="G36" s="491">
        <v>6</v>
      </c>
      <c r="H36" s="492">
        <v>7</v>
      </c>
      <c r="I36" s="495">
        <v>8</v>
      </c>
      <c r="J36" s="495">
        <v>9</v>
      </c>
      <c r="K36" s="491">
        <v>10</v>
      </c>
      <c r="L36" s="491">
        <v>11</v>
      </c>
      <c r="M36" s="491">
        <v>12</v>
      </c>
      <c r="N36" s="491">
        <v>13</v>
      </c>
      <c r="O36" s="492">
        <v>14</v>
      </c>
      <c r="P36" s="491">
        <v>15</v>
      </c>
      <c r="Q36" s="491">
        <v>16</v>
      </c>
      <c r="R36" s="491">
        <v>17</v>
      </c>
      <c r="S36" s="491">
        <v>18</v>
      </c>
      <c r="T36" s="491">
        <v>19</v>
      </c>
      <c r="U36" s="502">
        <v>20</v>
      </c>
      <c r="V36" s="492">
        <v>21</v>
      </c>
      <c r="W36" s="503">
        <v>22</v>
      </c>
      <c r="X36" s="503">
        <v>23</v>
      </c>
      <c r="Y36" s="503">
        <v>24</v>
      </c>
      <c r="Z36" s="503">
        <v>25</v>
      </c>
      <c r="AA36" s="503">
        <v>26</v>
      </c>
      <c r="AB36" s="491">
        <v>27</v>
      </c>
      <c r="AC36" s="492">
        <v>28</v>
      </c>
      <c r="AD36" s="504">
        <v>29</v>
      </c>
      <c r="AE36" s="504">
        <v>30</v>
      </c>
      <c r="AF36" s="504">
        <v>31</v>
      </c>
      <c r="AG36" s="504">
        <v>1</v>
      </c>
      <c r="AH36" s="504">
        <v>2</v>
      </c>
      <c r="AI36" s="505">
        <v>3</v>
      </c>
      <c r="AJ36" s="493">
        <v>4</v>
      </c>
      <c r="AK36" s="488" t="s">
        <v>13</v>
      </c>
    </row>
    <row r="37" spans="1:37" ht="12.75" customHeight="1">
      <c r="A37" s="488" t="s">
        <v>14</v>
      </c>
      <c r="B37" s="490">
        <v>29</v>
      </c>
      <c r="C37" s="490">
        <v>30</v>
      </c>
      <c r="D37" s="490">
        <v>31</v>
      </c>
      <c r="E37" s="491">
        <v>1</v>
      </c>
      <c r="F37" s="491">
        <v>2</v>
      </c>
      <c r="G37" s="491">
        <v>3</v>
      </c>
      <c r="H37" s="492">
        <v>4</v>
      </c>
      <c r="I37" s="491">
        <v>5</v>
      </c>
      <c r="J37" s="491">
        <v>6</v>
      </c>
      <c r="K37" s="491">
        <v>7</v>
      </c>
      <c r="L37" s="491">
        <v>8</v>
      </c>
      <c r="M37" s="491">
        <v>9</v>
      </c>
      <c r="N37" s="491">
        <v>10</v>
      </c>
      <c r="O37" s="492">
        <v>11</v>
      </c>
      <c r="P37" s="491">
        <v>12</v>
      </c>
      <c r="Q37" s="491">
        <v>13</v>
      </c>
      <c r="R37" s="491">
        <v>14</v>
      </c>
      <c r="S37" s="491">
        <v>15</v>
      </c>
      <c r="T37" s="491">
        <v>16</v>
      </c>
      <c r="U37" s="491">
        <v>17</v>
      </c>
      <c r="V37" s="506">
        <v>18</v>
      </c>
      <c r="W37" s="507">
        <v>19</v>
      </c>
      <c r="X37" s="508">
        <v>20</v>
      </c>
      <c r="Y37" s="508">
        <v>21</v>
      </c>
      <c r="Z37" s="508">
        <v>22</v>
      </c>
      <c r="AA37" s="509">
        <v>23</v>
      </c>
      <c r="AB37" s="509">
        <v>24</v>
      </c>
      <c r="AC37" s="506">
        <v>25</v>
      </c>
      <c r="AD37" s="508">
        <v>26</v>
      </c>
      <c r="AE37" s="508">
        <v>27</v>
      </c>
      <c r="AF37" s="508">
        <v>28</v>
      </c>
      <c r="AG37" s="508">
        <v>29</v>
      </c>
      <c r="AH37" s="509">
        <v>30</v>
      </c>
      <c r="AI37" s="509">
        <v>31</v>
      </c>
      <c r="AJ37" s="510">
        <v>1</v>
      </c>
      <c r="AK37" s="488" t="s">
        <v>14</v>
      </c>
    </row>
    <row r="38" spans="1:37" ht="12.75" customHeight="1">
      <c r="A38" s="488" t="s">
        <v>15</v>
      </c>
      <c r="B38" s="490">
        <v>26</v>
      </c>
      <c r="C38" s="490">
        <v>27</v>
      </c>
      <c r="D38" s="490">
        <v>28</v>
      </c>
      <c r="E38" s="490">
        <v>29</v>
      </c>
      <c r="F38" s="490">
        <v>30</v>
      </c>
      <c r="G38" s="490">
        <v>31</v>
      </c>
      <c r="H38" s="492">
        <v>1</v>
      </c>
      <c r="I38" s="491">
        <v>2</v>
      </c>
      <c r="J38" s="491">
        <v>3</v>
      </c>
      <c r="K38" s="491">
        <v>4</v>
      </c>
      <c r="L38" s="491">
        <v>5</v>
      </c>
      <c r="M38" s="491">
        <v>6</v>
      </c>
      <c r="N38" s="491">
        <v>7</v>
      </c>
      <c r="O38" s="492">
        <v>8</v>
      </c>
      <c r="P38" s="491">
        <v>9</v>
      </c>
      <c r="Q38" s="491">
        <v>10</v>
      </c>
      <c r="R38" s="495">
        <v>11</v>
      </c>
      <c r="S38" s="491">
        <v>12</v>
      </c>
      <c r="T38" s="491">
        <v>13</v>
      </c>
      <c r="U38" s="491">
        <v>14</v>
      </c>
      <c r="V38" s="492">
        <v>15</v>
      </c>
      <c r="W38" s="494">
        <v>16</v>
      </c>
      <c r="X38" s="494">
        <v>17</v>
      </c>
      <c r="Y38" s="494">
        <v>18</v>
      </c>
      <c r="Z38" s="494">
        <v>19</v>
      </c>
      <c r="AA38" s="491">
        <v>20</v>
      </c>
      <c r="AB38" s="491">
        <v>21</v>
      </c>
      <c r="AC38" s="492">
        <v>22</v>
      </c>
      <c r="AD38" s="494">
        <v>23</v>
      </c>
      <c r="AE38" s="494">
        <v>24</v>
      </c>
      <c r="AF38" s="494">
        <v>25</v>
      </c>
      <c r="AG38" s="494">
        <v>26</v>
      </c>
      <c r="AH38" s="491">
        <v>27</v>
      </c>
      <c r="AI38" s="491">
        <v>28</v>
      </c>
      <c r="AJ38" s="493">
        <v>29</v>
      </c>
      <c r="AK38" s="488" t="s">
        <v>15</v>
      </c>
    </row>
    <row r="39" spans="1:37" ht="12.75" customHeight="1">
      <c r="A39" s="488" t="s">
        <v>16</v>
      </c>
      <c r="B39" s="490">
        <v>30</v>
      </c>
      <c r="C39" s="491">
        <v>1</v>
      </c>
      <c r="D39" s="491">
        <v>2</v>
      </c>
      <c r="E39" s="491">
        <v>3</v>
      </c>
      <c r="F39" s="491">
        <v>4</v>
      </c>
      <c r="G39" s="491">
        <v>5</v>
      </c>
      <c r="H39" s="492">
        <v>6</v>
      </c>
      <c r="I39" s="491">
        <v>7</v>
      </c>
      <c r="J39" s="491">
        <v>8</v>
      </c>
      <c r="K39" s="491">
        <v>9</v>
      </c>
      <c r="L39" s="491">
        <v>10</v>
      </c>
      <c r="M39" s="491">
        <v>11</v>
      </c>
      <c r="N39" s="495">
        <v>12</v>
      </c>
      <c r="O39" s="492">
        <v>13</v>
      </c>
      <c r="P39" s="495">
        <v>14</v>
      </c>
      <c r="Q39" s="491">
        <v>15</v>
      </c>
      <c r="R39" s="491">
        <v>16</v>
      </c>
      <c r="S39" s="494">
        <v>17</v>
      </c>
      <c r="T39" s="491">
        <v>18</v>
      </c>
      <c r="U39" s="491">
        <v>19</v>
      </c>
      <c r="V39" s="492">
        <v>20</v>
      </c>
      <c r="W39" s="494">
        <v>21</v>
      </c>
      <c r="X39" s="494">
        <v>22</v>
      </c>
      <c r="Y39" s="494">
        <v>23</v>
      </c>
      <c r="Z39" s="494">
        <v>24</v>
      </c>
      <c r="AA39" s="491">
        <v>25</v>
      </c>
      <c r="AB39" s="491">
        <v>26</v>
      </c>
      <c r="AC39" s="492">
        <v>27</v>
      </c>
      <c r="AD39" s="494">
        <v>28</v>
      </c>
      <c r="AE39" s="494">
        <v>29</v>
      </c>
      <c r="AF39" s="494">
        <v>30</v>
      </c>
      <c r="AG39" s="511">
        <v>31</v>
      </c>
      <c r="AH39" s="505">
        <v>1</v>
      </c>
      <c r="AI39" s="505">
        <v>2</v>
      </c>
      <c r="AJ39" s="493">
        <v>3</v>
      </c>
      <c r="AK39" s="488" t="s">
        <v>16</v>
      </c>
    </row>
    <row r="40" spans="1:37" ht="12.75" customHeight="1">
      <c r="A40" s="488" t="s">
        <v>17</v>
      </c>
      <c r="B40" s="505">
        <v>28</v>
      </c>
      <c r="C40" s="505">
        <v>29</v>
      </c>
      <c r="D40" s="505">
        <v>30</v>
      </c>
      <c r="E40" s="505">
        <v>31</v>
      </c>
      <c r="F40" s="488">
        <v>1</v>
      </c>
      <c r="G40" s="488">
        <v>2</v>
      </c>
      <c r="H40" s="492">
        <v>3</v>
      </c>
      <c r="I40" s="488">
        <v>4</v>
      </c>
      <c r="J40" s="488">
        <v>5</v>
      </c>
      <c r="K40" s="488">
        <v>6</v>
      </c>
      <c r="L40" s="488">
        <v>7</v>
      </c>
      <c r="M40" s="488">
        <v>8</v>
      </c>
      <c r="N40" s="488">
        <v>9</v>
      </c>
      <c r="O40" s="492">
        <v>10</v>
      </c>
      <c r="P40" s="488">
        <v>11</v>
      </c>
      <c r="Q40" s="488">
        <v>12</v>
      </c>
      <c r="R40" s="488">
        <v>13</v>
      </c>
      <c r="S40" s="488">
        <v>14</v>
      </c>
      <c r="T40" s="488">
        <v>15</v>
      </c>
      <c r="U40" s="488">
        <v>16</v>
      </c>
      <c r="V40" s="492">
        <v>17</v>
      </c>
      <c r="W40" s="496">
        <v>18</v>
      </c>
      <c r="X40" s="488">
        <v>19</v>
      </c>
      <c r="Y40" s="488">
        <v>20</v>
      </c>
      <c r="Z40" s="488">
        <v>21</v>
      </c>
      <c r="AA40" s="488">
        <v>22</v>
      </c>
      <c r="AB40" s="488">
        <v>23</v>
      </c>
      <c r="AC40" s="492">
        <v>24</v>
      </c>
      <c r="AD40" s="488">
        <v>25</v>
      </c>
      <c r="AE40" s="488">
        <v>26</v>
      </c>
      <c r="AF40" s="488">
        <v>27</v>
      </c>
      <c r="AG40" s="488">
        <v>28</v>
      </c>
      <c r="AH40" s="488">
        <v>29</v>
      </c>
      <c r="AI40" s="488">
        <v>30</v>
      </c>
      <c r="AJ40" s="493">
        <v>1</v>
      </c>
      <c r="AK40" s="488" t="s">
        <v>17</v>
      </c>
    </row>
    <row r="41" spans="1:37" ht="12.75" customHeight="1">
      <c r="A41" s="488" t="s">
        <v>18</v>
      </c>
      <c r="B41" s="505">
        <v>25</v>
      </c>
      <c r="C41" s="505">
        <v>26</v>
      </c>
      <c r="D41" s="505">
        <v>27</v>
      </c>
      <c r="E41" s="505">
        <v>28</v>
      </c>
      <c r="F41" s="505">
        <v>29</v>
      </c>
      <c r="G41" s="505">
        <v>30</v>
      </c>
      <c r="H41" s="492">
        <v>1</v>
      </c>
      <c r="I41" s="488">
        <v>2</v>
      </c>
      <c r="J41" s="488">
        <v>3</v>
      </c>
      <c r="K41" s="488">
        <v>4</v>
      </c>
      <c r="L41" s="488">
        <v>5</v>
      </c>
      <c r="M41" s="488">
        <v>6</v>
      </c>
      <c r="N41" s="488">
        <v>7</v>
      </c>
      <c r="O41" s="496">
        <v>8</v>
      </c>
      <c r="P41" s="488">
        <v>9</v>
      </c>
      <c r="Q41" s="488">
        <v>10</v>
      </c>
      <c r="R41" s="488">
        <v>11</v>
      </c>
      <c r="S41" s="488">
        <v>12</v>
      </c>
      <c r="T41" s="488">
        <v>13</v>
      </c>
      <c r="U41" s="488">
        <v>14</v>
      </c>
      <c r="V41" s="492">
        <v>15</v>
      </c>
      <c r="W41" s="488">
        <v>16</v>
      </c>
      <c r="X41" s="488">
        <v>17</v>
      </c>
      <c r="Y41" s="488">
        <v>18</v>
      </c>
      <c r="Z41" s="488">
        <v>19</v>
      </c>
      <c r="AA41" s="488">
        <v>20</v>
      </c>
      <c r="AB41" s="488">
        <v>21</v>
      </c>
      <c r="AC41" s="492">
        <v>22</v>
      </c>
      <c r="AD41" s="488">
        <v>23</v>
      </c>
      <c r="AE41" s="512">
        <v>24</v>
      </c>
      <c r="AF41" s="496">
        <v>25</v>
      </c>
      <c r="AG41" s="512">
        <v>26</v>
      </c>
      <c r="AH41" s="512">
        <v>27</v>
      </c>
      <c r="AI41" s="512">
        <v>28</v>
      </c>
      <c r="AJ41" s="493">
        <v>29</v>
      </c>
      <c r="AK41" s="488" t="s">
        <v>18</v>
      </c>
    </row>
    <row r="42" spans="1:37" ht="12.75" customHeight="1">
      <c r="A42" s="513"/>
      <c r="B42" s="823"/>
      <c r="C42" s="823"/>
      <c r="D42" s="823"/>
      <c r="E42" s="823"/>
      <c r="F42" s="823"/>
      <c r="G42" s="823"/>
      <c r="H42" s="514"/>
      <c r="I42" s="514"/>
      <c r="J42" s="514"/>
      <c r="K42" s="514"/>
      <c r="L42" s="514"/>
      <c r="M42" s="514"/>
      <c r="N42" s="514"/>
      <c r="O42" s="514"/>
      <c r="P42" s="514"/>
      <c r="Q42" s="514"/>
      <c r="R42" s="514"/>
      <c r="S42" s="514"/>
      <c r="T42" s="514"/>
      <c r="U42" s="514"/>
      <c r="V42" s="514"/>
      <c r="W42" s="514"/>
      <c r="X42" s="514"/>
      <c r="Y42" s="514"/>
      <c r="Z42" s="514"/>
      <c r="AA42" s="514"/>
      <c r="AB42" s="514"/>
      <c r="AC42" s="514"/>
      <c r="AD42" s="823"/>
      <c r="AE42" s="823"/>
      <c r="AF42" s="823"/>
      <c r="AG42" s="823"/>
      <c r="AH42" s="515"/>
      <c r="AI42" s="515"/>
      <c r="AJ42" s="515"/>
      <c r="AK42" s="513"/>
    </row>
    <row r="43" spans="1:37" ht="12.75" customHeight="1">
      <c r="A43" s="513"/>
      <c r="B43" s="823"/>
      <c r="C43" s="823"/>
      <c r="D43" s="823"/>
      <c r="E43" s="823"/>
      <c r="F43" s="823"/>
      <c r="G43" s="823"/>
      <c r="H43" s="514"/>
      <c r="I43" s="514"/>
      <c r="J43" s="514"/>
      <c r="K43" s="514"/>
      <c r="L43" s="514"/>
      <c r="M43" s="514"/>
      <c r="N43" s="514"/>
      <c r="O43" s="514"/>
      <c r="P43" s="514"/>
      <c r="Q43" s="514"/>
      <c r="R43" s="514"/>
      <c r="S43" s="514"/>
      <c r="T43" s="514"/>
      <c r="U43" s="514"/>
      <c r="V43" s="514"/>
      <c r="W43" s="514"/>
      <c r="X43" s="514"/>
      <c r="Y43" s="514"/>
      <c r="Z43" s="514"/>
      <c r="AA43" s="514"/>
      <c r="AB43" s="514"/>
      <c r="AC43" s="514"/>
      <c r="AD43" s="823"/>
      <c r="AE43" s="823"/>
      <c r="AF43" s="823"/>
      <c r="AG43" s="823"/>
      <c r="AH43" s="515"/>
      <c r="AI43" s="515"/>
      <c r="AJ43" s="515"/>
      <c r="AK43" s="513"/>
    </row>
    <row r="44" spans="1:37" ht="12.75" customHeight="1">
      <c r="A44" s="488">
        <v>2020</v>
      </c>
      <c r="B44" s="488" t="s">
        <v>0</v>
      </c>
      <c r="C44" s="488" t="s">
        <v>1</v>
      </c>
      <c r="D44" s="488" t="s">
        <v>2</v>
      </c>
      <c r="E44" s="488" t="s">
        <v>3</v>
      </c>
      <c r="F44" s="488" t="s">
        <v>4</v>
      </c>
      <c r="G44" s="488" t="s">
        <v>5</v>
      </c>
      <c r="H44" s="488" t="s">
        <v>6</v>
      </c>
      <c r="I44" s="488" t="s">
        <v>0</v>
      </c>
      <c r="J44" s="488" t="s">
        <v>1</v>
      </c>
      <c r="K44" s="488" t="s">
        <v>2</v>
      </c>
      <c r="L44" s="488" t="s">
        <v>3</v>
      </c>
      <c r="M44" s="488" t="s">
        <v>4</v>
      </c>
      <c r="N44" s="488" t="s">
        <v>5</v>
      </c>
      <c r="O44" s="488" t="s">
        <v>6</v>
      </c>
      <c r="P44" s="488" t="s">
        <v>0</v>
      </c>
      <c r="Q44" s="488" t="s">
        <v>1</v>
      </c>
      <c r="R44" s="488" t="s">
        <v>2</v>
      </c>
      <c r="S44" s="488" t="s">
        <v>3</v>
      </c>
      <c r="T44" s="488" t="s">
        <v>4</v>
      </c>
      <c r="U44" s="488" t="s">
        <v>5</v>
      </c>
      <c r="V44" s="488" t="s">
        <v>6</v>
      </c>
      <c r="W44" s="488" t="s">
        <v>0</v>
      </c>
      <c r="X44" s="488" t="s">
        <v>1</v>
      </c>
      <c r="Y44" s="488" t="s">
        <v>2</v>
      </c>
      <c r="Z44" s="488" t="s">
        <v>3</v>
      </c>
      <c r="AA44" s="488" t="s">
        <v>4</v>
      </c>
      <c r="AB44" s="488" t="s">
        <v>5</v>
      </c>
      <c r="AC44" s="488" t="s">
        <v>6</v>
      </c>
      <c r="AD44" s="488" t="s">
        <v>0</v>
      </c>
      <c r="AE44" s="488" t="s">
        <v>1</v>
      </c>
      <c r="AF44" s="488" t="s">
        <v>2</v>
      </c>
      <c r="AG44" s="488" t="s">
        <v>3</v>
      </c>
      <c r="AH44" s="488" t="s">
        <v>4</v>
      </c>
      <c r="AI44" s="488" t="s">
        <v>5</v>
      </c>
      <c r="AJ44" s="488" t="s">
        <v>6</v>
      </c>
      <c r="AK44" s="488">
        <v>2020</v>
      </c>
    </row>
    <row r="45" spans="1:37" ht="12.75" customHeight="1">
      <c r="A45" s="491" t="s">
        <v>7</v>
      </c>
      <c r="B45" s="516">
        <v>30</v>
      </c>
      <c r="C45" s="516">
        <v>31</v>
      </c>
      <c r="D45" s="495">
        <v>1</v>
      </c>
      <c r="E45" s="517">
        <v>2</v>
      </c>
      <c r="F45" s="491">
        <v>3</v>
      </c>
      <c r="G45" s="491">
        <v>4</v>
      </c>
      <c r="H45" s="518">
        <v>5</v>
      </c>
      <c r="I45" s="491">
        <f>H45+1</f>
        <v>6</v>
      </c>
      <c r="J45" s="491">
        <f t="shared" ref="J45:AH45" si="0">I45+1</f>
        <v>7</v>
      </c>
      <c r="K45" s="491">
        <f t="shared" si="0"/>
        <v>8</v>
      </c>
      <c r="L45" s="491">
        <f t="shared" si="0"/>
        <v>9</v>
      </c>
      <c r="M45" s="491">
        <f t="shared" si="0"/>
        <v>10</v>
      </c>
      <c r="N45" s="491">
        <f t="shared" si="0"/>
        <v>11</v>
      </c>
      <c r="O45" s="518">
        <f t="shared" si="0"/>
        <v>12</v>
      </c>
      <c r="P45" s="491">
        <f t="shared" si="0"/>
        <v>13</v>
      </c>
      <c r="Q45" s="491">
        <f t="shared" si="0"/>
        <v>14</v>
      </c>
      <c r="R45" s="491">
        <f t="shared" si="0"/>
        <v>15</v>
      </c>
      <c r="S45" s="491">
        <f t="shared" si="0"/>
        <v>16</v>
      </c>
      <c r="T45" s="491">
        <f t="shared" si="0"/>
        <v>17</v>
      </c>
      <c r="U45" s="491">
        <f t="shared" si="0"/>
        <v>18</v>
      </c>
      <c r="V45" s="518">
        <f t="shared" si="0"/>
        <v>19</v>
      </c>
      <c r="W45" s="491">
        <f t="shared" si="0"/>
        <v>20</v>
      </c>
      <c r="X45" s="491">
        <f t="shared" si="0"/>
        <v>21</v>
      </c>
      <c r="Y45" s="491">
        <f t="shared" si="0"/>
        <v>22</v>
      </c>
      <c r="Z45" s="491">
        <f t="shared" si="0"/>
        <v>23</v>
      </c>
      <c r="AA45" s="491">
        <f t="shared" si="0"/>
        <v>24</v>
      </c>
      <c r="AB45" s="491">
        <f t="shared" si="0"/>
        <v>25</v>
      </c>
      <c r="AC45" s="518">
        <f t="shared" si="0"/>
        <v>26</v>
      </c>
      <c r="AD45" s="491">
        <f t="shared" si="0"/>
        <v>27</v>
      </c>
      <c r="AE45" s="491">
        <f t="shared" si="0"/>
        <v>28</v>
      </c>
      <c r="AF45" s="491">
        <f t="shared" si="0"/>
        <v>29</v>
      </c>
      <c r="AG45" s="491">
        <f t="shared" si="0"/>
        <v>30</v>
      </c>
      <c r="AH45" s="491">
        <f t="shared" si="0"/>
        <v>31</v>
      </c>
      <c r="AI45" s="519">
        <v>1</v>
      </c>
      <c r="AJ45" s="518">
        <v>2</v>
      </c>
      <c r="AK45" s="491" t="s">
        <v>7</v>
      </c>
    </row>
    <row r="46" spans="1:37" ht="12.75" customHeight="1">
      <c r="A46" s="509" t="s">
        <v>8</v>
      </c>
      <c r="B46" s="520">
        <f>AD45</f>
        <v>27</v>
      </c>
      <c r="C46" s="520">
        <f>B46+1</f>
        <v>28</v>
      </c>
      <c r="D46" s="520">
        <f t="shared" ref="D46:F46" si="1">C46+1</f>
        <v>29</v>
      </c>
      <c r="E46" s="520">
        <f t="shared" si="1"/>
        <v>30</v>
      </c>
      <c r="F46" s="520">
        <f t="shared" si="1"/>
        <v>31</v>
      </c>
      <c r="G46" s="521">
        <v>1</v>
      </c>
      <c r="H46" s="522">
        <v>2</v>
      </c>
      <c r="I46" s="523">
        <f>H46+1</f>
        <v>3</v>
      </c>
      <c r="J46" s="523">
        <v>4</v>
      </c>
      <c r="K46" s="523">
        <v>5</v>
      </c>
      <c r="L46" s="523">
        <v>6</v>
      </c>
      <c r="M46" s="523">
        <v>7</v>
      </c>
      <c r="N46" s="523">
        <v>8</v>
      </c>
      <c r="O46" s="522">
        <v>9</v>
      </c>
      <c r="P46" s="523">
        <v>10</v>
      </c>
      <c r="Q46" s="523">
        <v>11</v>
      </c>
      <c r="R46" s="523">
        <v>12</v>
      </c>
      <c r="S46" s="523">
        <v>13</v>
      </c>
      <c r="T46" s="523">
        <v>14</v>
      </c>
      <c r="U46" s="523">
        <v>15</v>
      </c>
      <c r="V46" s="522">
        <v>16</v>
      </c>
      <c r="W46" s="524">
        <v>17</v>
      </c>
      <c r="X46" s="524">
        <v>18</v>
      </c>
      <c r="Y46" s="524">
        <v>19</v>
      </c>
      <c r="Z46" s="524">
        <v>20</v>
      </c>
      <c r="AA46" s="524">
        <v>21</v>
      </c>
      <c r="AB46" s="524">
        <v>22</v>
      </c>
      <c r="AC46" s="522">
        <v>23</v>
      </c>
      <c r="AD46" s="524">
        <v>24</v>
      </c>
      <c r="AE46" s="524">
        <v>25</v>
      </c>
      <c r="AF46" s="524">
        <v>26</v>
      </c>
      <c r="AG46" s="524">
        <v>27</v>
      </c>
      <c r="AH46" s="524">
        <v>28</v>
      </c>
      <c r="AI46" s="524">
        <v>29</v>
      </c>
      <c r="AJ46" s="522">
        <v>1</v>
      </c>
      <c r="AK46" s="509" t="s">
        <v>8</v>
      </c>
    </row>
    <row r="47" spans="1:37" ht="12.75" customHeight="1">
      <c r="A47" s="509" t="s">
        <v>1</v>
      </c>
      <c r="B47" s="520">
        <f>AD46</f>
        <v>24</v>
      </c>
      <c r="C47" s="520">
        <f>B47+1</f>
        <v>25</v>
      </c>
      <c r="D47" s="520">
        <f t="shared" ref="D47:G47" si="2">C47+1</f>
        <v>26</v>
      </c>
      <c r="E47" s="520">
        <f t="shared" si="2"/>
        <v>27</v>
      </c>
      <c r="F47" s="520">
        <f t="shared" si="2"/>
        <v>28</v>
      </c>
      <c r="G47" s="520">
        <f t="shared" si="2"/>
        <v>29</v>
      </c>
      <c r="H47" s="522">
        <v>1</v>
      </c>
      <c r="I47" s="523">
        <f t="shared" ref="I47:X63" si="3">H47+1</f>
        <v>2</v>
      </c>
      <c r="J47" s="523">
        <f t="shared" si="3"/>
        <v>3</v>
      </c>
      <c r="K47" s="523">
        <f t="shared" si="3"/>
        <v>4</v>
      </c>
      <c r="L47" s="523">
        <f t="shared" si="3"/>
        <v>5</v>
      </c>
      <c r="M47" s="523">
        <f t="shared" si="3"/>
        <v>6</v>
      </c>
      <c r="N47" s="523">
        <f t="shared" si="3"/>
        <v>7</v>
      </c>
      <c r="O47" s="522">
        <f t="shared" si="3"/>
        <v>8</v>
      </c>
      <c r="P47" s="523">
        <f t="shared" si="3"/>
        <v>9</v>
      </c>
      <c r="Q47" s="523">
        <f t="shared" si="3"/>
        <v>10</v>
      </c>
      <c r="R47" s="523">
        <f t="shared" si="3"/>
        <v>11</v>
      </c>
      <c r="S47" s="523">
        <f t="shared" si="3"/>
        <v>12</v>
      </c>
      <c r="T47" s="523">
        <f t="shared" si="3"/>
        <v>13</v>
      </c>
      <c r="U47" s="523">
        <f t="shared" si="3"/>
        <v>14</v>
      </c>
      <c r="V47" s="522">
        <f t="shared" si="3"/>
        <v>15</v>
      </c>
      <c r="W47" s="523">
        <f t="shared" si="3"/>
        <v>16</v>
      </c>
      <c r="X47" s="523">
        <f t="shared" si="3"/>
        <v>17</v>
      </c>
      <c r="Y47" s="523">
        <f t="shared" ref="Y47:AJ63" si="4">X47+1</f>
        <v>18</v>
      </c>
      <c r="Z47" s="523">
        <f t="shared" si="4"/>
        <v>19</v>
      </c>
      <c r="AA47" s="523">
        <f t="shared" si="4"/>
        <v>20</v>
      </c>
      <c r="AB47" s="523">
        <f t="shared" si="4"/>
        <v>21</v>
      </c>
      <c r="AC47" s="522">
        <f t="shared" si="4"/>
        <v>22</v>
      </c>
      <c r="AD47" s="523">
        <f t="shared" si="4"/>
        <v>23</v>
      </c>
      <c r="AE47" s="525">
        <f t="shared" si="4"/>
        <v>24</v>
      </c>
      <c r="AF47" s="523">
        <f t="shared" si="4"/>
        <v>25</v>
      </c>
      <c r="AG47" s="523">
        <f t="shared" si="4"/>
        <v>26</v>
      </c>
      <c r="AH47" s="523">
        <f t="shared" si="4"/>
        <v>27</v>
      </c>
      <c r="AI47" s="523">
        <f t="shared" si="4"/>
        <v>28</v>
      </c>
      <c r="AJ47" s="526">
        <f t="shared" si="4"/>
        <v>29</v>
      </c>
      <c r="AK47" s="509" t="s">
        <v>1</v>
      </c>
    </row>
    <row r="48" spans="1:37" ht="12.75" customHeight="1">
      <c r="A48" s="509" t="s">
        <v>10</v>
      </c>
      <c r="B48" s="520">
        <v>30</v>
      </c>
      <c r="C48" s="520">
        <f>B48+1</f>
        <v>31</v>
      </c>
      <c r="D48" s="520">
        <v>1</v>
      </c>
      <c r="E48" s="525">
        <v>2</v>
      </c>
      <c r="F48" s="521">
        <v>3</v>
      </c>
      <c r="G48" s="521">
        <v>4</v>
      </c>
      <c r="H48" s="522">
        <v>5</v>
      </c>
      <c r="I48" s="523">
        <f t="shared" si="3"/>
        <v>6</v>
      </c>
      <c r="J48" s="523">
        <f t="shared" si="3"/>
        <v>7</v>
      </c>
      <c r="K48" s="523">
        <f t="shared" si="3"/>
        <v>8</v>
      </c>
      <c r="L48" s="523">
        <f t="shared" si="3"/>
        <v>9</v>
      </c>
      <c r="M48" s="525">
        <f t="shared" si="3"/>
        <v>10</v>
      </c>
      <c r="N48" s="523">
        <f t="shared" si="3"/>
        <v>11</v>
      </c>
      <c r="O48" s="522">
        <f t="shared" si="3"/>
        <v>12</v>
      </c>
      <c r="P48" s="523">
        <f t="shared" si="3"/>
        <v>13</v>
      </c>
      <c r="Q48" s="523">
        <f t="shared" si="3"/>
        <v>14</v>
      </c>
      <c r="R48" s="523">
        <f t="shared" si="3"/>
        <v>15</v>
      </c>
      <c r="S48" s="523">
        <f t="shared" si="3"/>
        <v>16</v>
      </c>
      <c r="T48" s="523">
        <f t="shared" si="3"/>
        <v>17</v>
      </c>
      <c r="U48" s="523">
        <f t="shared" si="3"/>
        <v>18</v>
      </c>
      <c r="V48" s="522">
        <f t="shared" si="3"/>
        <v>19</v>
      </c>
      <c r="W48" s="523">
        <f t="shared" si="3"/>
        <v>20</v>
      </c>
      <c r="X48" s="523">
        <f t="shared" si="3"/>
        <v>21</v>
      </c>
      <c r="Y48" s="523">
        <f t="shared" si="4"/>
        <v>22</v>
      </c>
      <c r="Z48" s="523">
        <f t="shared" si="4"/>
        <v>23</v>
      </c>
      <c r="AA48" s="523">
        <f t="shared" si="4"/>
        <v>24</v>
      </c>
      <c r="AB48" s="523">
        <f t="shared" si="4"/>
        <v>25</v>
      </c>
      <c r="AC48" s="522">
        <f t="shared" si="4"/>
        <v>26</v>
      </c>
      <c r="AD48" s="523">
        <f t="shared" si="4"/>
        <v>27</v>
      </c>
      <c r="AE48" s="523">
        <f t="shared" si="4"/>
        <v>28</v>
      </c>
      <c r="AF48" s="523">
        <f t="shared" si="4"/>
        <v>29</v>
      </c>
      <c r="AG48" s="523">
        <f t="shared" si="4"/>
        <v>30</v>
      </c>
      <c r="AH48" s="520">
        <v>1</v>
      </c>
      <c r="AI48" s="520">
        <v>2</v>
      </c>
      <c r="AJ48" s="522">
        <v>3</v>
      </c>
      <c r="AK48" s="509" t="s">
        <v>10</v>
      </c>
    </row>
    <row r="49" spans="1:37" ht="12.75" customHeight="1">
      <c r="A49" s="509" t="s">
        <v>11</v>
      </c>
      <c r="B49" s="520">
        <f>AD48</f>
        <v>27</v>
      </c>
      <c r="C49" s="520">
        <f>B49+1</f>
        <v>28</v>
      </c>
      <c r="D49" s="520">
        <f t="shared" ref="D49:E49" si="5">C49+1</f>
        <v>29</v>
      </c>
      <c r="E49" s="520">
        <f t="shared" si="5"/>
        <v>30</v>
      </c>
      <c r="F49" s="525">
        <v>1</v>
      </c>
      <c r="G49" s="521">
        <v>2</v>
      </c>
      <c r="H49" s="522">
        <v>3</v>
      </c>
      <c r="I49" s="523">
        <f t="shared" si="3"/>
        <v>4</v>
      </c>
      <c r="J49" s="523">
        <f t="shared" si="3"/>
        <v>5</v>
      </c>
      <c r="K49" s="523">
        <f t="shared" si="3"/>
        <v>6</v>
      </c>
      <c r="L49" s="523">
        <f t="shared" si="3"/>
        <v>7</v>
      </c>
      <c r="M49" s="523">
        <f t="shared" si="3"/>
        <v>8</v>
      </c>
      <c r="N49" s="523">
        <f t="shared" si="3"/>
        <v>9</v>
      </c>
      <c r="O49" s="522">
        <f t="shared" si="3"/>
        <v>10</v>
      </c>
      <c r="P49" s="523">
        <f t="shared" si="3"/>
        <v>11</v>
      </c>
      <c r="Q49" s="523">
        <f t="shared" si="3"/>
        <v>12</v>
      </c>
      <c r="R49" s="523">
        <f t="shared" si="3"/>
        <v>13</v>
      </c>
      <c r="S49" s="523">
        <f t="shared" si="3"/>
        <v>14</v>
      </c>
      <c r="T49" s="523">
        <f t="shared" si="3"/>
        <v>15</v>
      </c>
      <c r="U49" s="523">
        <f t="shared" si="3"/>
        <v>16</v>
      </c>
      <c r="V49" s="522">
        <f t="shared" si="3"/>
        <v>17</v>
      </c>
      <c r="W49" s="523">
        <f t="shared" si="3"/>
        <v>18</v>
      </c>
      <c r="X49" s="523">
        <f t="shared" si="3"/>
        <v>19</v>
      </c>
      <c r="Y49" s="523">
        <f t="shared" si="4"/>
        <v>20</v>
      </c>
      <c r="Z49" s="523">
        <f t="shared" si="4"/>
        <v>21</v>
      </c>
      <c r="AA49" s="523">
        <f t="shared" si="4"/>
        <v>22</v>
      </c>
      <c r="AB49" s="523">
        <f t="shared" si="4"/>
        <v>23</v>
      </c>
      <c r="AC49" s="522">
        <f t="shared" si="4"/>
        <v>24</v>
      </c>
      <c r="AD49" s="525">
        <f t="shared" si="4"/>
        <v>25</v>
      </c>
      <c r="AE49" s="523">
        <f t="shared" si="4"/>
        <v>26</v>
      </c>
      <c r="AF49" s="523">
        <f t="shared" si="4"/>
        <v>27</v>
      </c>
      <c r="AG49" s="523">
        <f t="shared" si="4"/>
        <v>28</v>
      </c>
      <c r="AH49" s="523">
        <f t="shared" si="4"/>
        <v>29</v>
      </c>
      <c r="AI49" s="527">
        <f t="shared" si="4"/>
        <v>30</v>
      </c>
      <c r="AJ49" s="526">
        <v>31</v>
      </c>
      <c r="AK49" s="509" t="s">
        <v>11</v>
      </c>
    </row>
    <row r="50" spans="1:37" ht="12.75" customHeight="1">
      <c r="A50" s="528" t="s">
        <v>12</v>
      </c>
      <c r="B50" s="529">
        <v>1</v>
      </c>
      <c r="C50" s="529">
        <v>2</v>
      </c>
      <c r="D50" s="529">
        <v>3</v>
      </c>
      <c r="E50" s="529">
        <v>4</v>
      </c>
      <c r="F50" s="529">
        <v>5</v>
      </c>
      <c r="G50" s="529">
        <v>6</v>
      </c>
      <c r="H50" s="526">
        <v>7</v>
      </c>
      <c r="I50" s="527">
        <f t="shared" si="3"/>
        <v>8</v>
      </c>
      <c r="J50" s="527">
        <f t="shared" si="3"/>
        <v>9</v>
      </c>
      <c r="K50" s="527">
        <f t="shared" si="3"/>
        <v>10</v>
      </c>
      <c r="L50" s="527">
        <f t="shared" si="3"/>
        <v>11</v>
      </c>
      <c r="M50" s="527">
        <f t="shared" si="3"/>
        <v>12</v>
      </c>
      <c r="N50" s="527">
        <f t="shared" si="3"/>
        <v>13</v>
      </c>
      <c r="O50" s="526">
        <f t="shared" si="3"/>
        <v>14</v>
      </c>
      <c r="P50" s="527">
        <f t="shared" si="3"/>
        <v>15</v>
      </c>
      <c r="Q50" s="527">
        <f t="shared" si="3"/>
        <v>16</v>
      </c>
      <c r="R50" s="527">
        <f t="shared" si="3"/>
        <v>17</v>
      </c>
      <c r="S50" s="527">
        <f t="shared" si="3"/>
        <v>18</v>
      </c>
      <c r="T50" s="527">
        <f t="shared" si="3"/>
        <v>19</v>
      </c>
      <c r="U50" s="530">
        <f t="shared" si="3"/>
        <v>20</v>
      </c>
      <c r="V50" s="526">
        <f t="shared" si="3"/>
        <v>21</v>
      </c>
      <c r="W50" s="527">
        <f t="shared" si="3"/>
        <v>22</v>
      </c>
      <c r="X50" s="527">
        <f t="shared" si="3"/>
        <v>23</v>
      </c>
      <c r="Y50" s="527">
        <f t="shared" si="4"/>
        <v>24</v>
      </c>
      <c r="Z50" s="527">
        <f t="shared" si="4"/>
        <v>25</v>
      </c>
      <c r="AA50" s="527">
        <f t="shared" si="4"/>
        <v>26</v>
      </c>
      <c r="AB50" s="527">
        <f t="shared" si="4"/>
        <v>27</v>
      </c>
      <c r="AC50" s="526">
        <f t="shared" si="4"/>
        <v>28</v>
      </c>
      <c r="AD50" s="527">
        <f t="shared" si="4"/>
        <v>29</v>
      </c>
      <c r="AE50" s="527">
        <f t="shared" si="4"/>
        <v>30</v>
      </c>
      <c r="AF50" s="531">
        <v>1</v>
      </c>
      <c r="AG50" s="531">
        <v>2</v>
      </c>
      <c r="AH50" s="531">
        <v>3</v>
      </c>
      <c r="AI50" s="531">
        <v>4</v>
      </c>
      <c r="AJ50" s="526">
        <v>5</v>
      </c>
      <c r="AK50" s="528" t="s">
        <v>12</v>
      </c>
    </row>
    <row r="51" spans="1:37" ht="12.75" customHeight="1">
      <c r="A51" s="879"/>
      <c r="B51" s="877"/>
      <c r="C51" s="877"/>
      <c r="D51" s="877"/>
      <c r="E51" s="877"/>
      <c r="F51" s="877"/>
      <c r="G51" s="877"/>
      <c r="H51" s="877"/>
      <c r="I51" s="877"/>
      <c r="J51" s="877"/>
      <c r="K51" s="877"/>
      <c r="L51" s="877"/>
      <c r="M51" s="877"/>
      <c r="N51" s="877"/>
      <c r="O51" s="877"/>
      <c r="P51" s="877"/>
      <c r="Q51" s="877"/>
      <c r="R51" s="877"/>
      <c r="S51" s="880"/>
      <c r="T51" s="880"/>
      <c r="U51" s="880"/>
      <c r="V51" s="877"/>
      <c r="W51" s="877"/>
      <c r="X51" s="877"/>
      <c r="Y51" s="877"/>
      <c r="Z51" s="877"/>
      <c r="AA51" s="877"/>
      <c r="AB51" s="877"/>
      <c r="AC51" s="877"/>
      <c r="AD51" s="877"/>
      <c r="AE51" s="877"/>
      <c r="AF51" s="877"/>
      <c r="AG51" s="877"/>
      <c r="AH51" s="877"/>
      <c r="AI51" s="877"/>
      <c r="AJ51" s="878"/>
    </row>
    <row r="52" spans="1:37" ht="12.75" customHeight="1">
      <c r="A52" s="874" t="s">
        <v>19</v>
      </c>
      <c r="B52" s="875"/>
      <c r="C52" s="875"/>
      <c r="D52" s="875"/>
      <c r="E52" s="875"/>
      <c r="F52" s="875"/>
      <c r="G52" s="875"/>
      <c r="H52" s="875"/>
      <c r="I52" s="875"/>
      <c r="J52" s="875"/>
      <c r="K52" s="875"/>
      <c r="L52" s="875"/>
      <c r="M52" s="875"/>
      <c r="N52" s="875"/>
      <c r="O52" s="875"/>
      <c r="P52" s="532"/>
      <c r="Q52" s="532"/>
      <c r="R52" s="532"/>
      <c r="S52" s="532"/>
      <c r="T52" s="532"/>
      <c r="U52" s="532"/>
      <c r="V52" s="532"/>
      <c r="W52" s="532"/>
      <c r="X52" s="532"/>
      <c r="Y52" s="532"/>
      <c r="Z52" s="532"/>
      <c r="AA52" s="532"/>
      <c r="AB52" s="532"/>
      <c r="AC52" s="532"/>
      <c r="AD52" s="532"/>
      <c r="AE52" s="532"/>
      <c r="AF52" s="532"/>
      <c r="AG52" s="532"/>
      <c r="AH52" s="532"/>
      <c r="AI52" s="532"/>
      <c r="AJ52" s="533"/>
    </row>
    <row r="53" spans="1:37" ht="12.75" customHeight="1">
      <c r="A53" s="874" t="s">
        <v>20</v>
      </c>
      <c r="B53" s="875"/>
      <c r="C53" s="875"/>
      <c r="D53" s="875"/>
      <c r="E53" s="875"/>
      <c r="F53" s="875"/>
      <c r="G53" s="875"/>
      <c r="H53" s="875"/>
      <c r="I53" s="875"/>
      <c r="J53" s="875"/>
      <c r="K53" s="875"/>
      <c r="L53" s="875"/>
      <c r="M53" s="875"/>
      <c r="N53" s="875"/>
      <c r="O53" s="875"/>
      <c r="P53" s="532"/>
      <c r="Q53" s="532"/>
      <c r="R53" s="532"/>
      <c r="S53" s="532"/>
      <c r="T53" s="532"/>
      <c r="U53" s="532"/>
      <c r="V53" s="532"/>
      <c r="W53" s="532"/>
      <c r="X53" s="532"/>
      <c r="Y53" s="532"/>
      <c r="Z53" s="532"/>
      <c r="AA53" s="532"/>
      <c r="AB53" s="532"/>
      <c r="AC53" s="532"/>
      <c r="AD53" s="532"/>
      <c r="AE53" s="532"/>
      <c r="AF53" s="532"/>
      <c r="AG53" s="532"/>
      <c r="AH53" s="532"/>
      <c r="AI53" s="532"/>
      <c r="AJ53" s="533"/>
    </row>
    <row r="54" spans="1:37" ht="12.75" customHeight="1">
      <c r="A54" s="874" t="s">
        <v>21</v>
      </c>
      <c r="B54" s="875"/>
      <c r="C54" s="875"/>
      <c r="D54" s="875"/>
      <c r="E54" s="875"/>
      <c r="F54" s="875"/>
      <c r="G54" s="875"/>
      <c r="H54" s="875"/>
      <c r="I54" s="875"/>
      <c r="J54" s="875"/>
      <c r="K54" s="875"/>
      <c r="L54" s="875"/>
      <c r="M54" s="875"/>
      <c r="N54" s="875"/>
      <c r="O54" s="875"/>
      <c r="P54" s="532"/>
      <c r="Q54" s="532"/>
      <c r="R54" s="532"/>
      <c r="S54" s="532"/>
      <c r="T54" s="532"/>
      <c r="U54" s="532"/>
      <c r="V54" s="532"/>
      <c r="W54" s="532"/>
      <c r="X54" s="532"/>
      <c r="Y54" s="532"/>
      <c r="Z54" s="532"/>
      <c r="AA54" s="532"/>
      <c r="AB54" s="532"/>
      <c r="AC54" s="532"/>
      <c r="AD54" s="532"/>
      <c r="AE54" s="532"/>
      <c r="AF54" s="532"/>
      <c r="AG54" s="532"/>
      <c r="AH54" s="532"/>
      <c r="AI54" s="532"/>
      <c r="AJ54" s="533"/>
    </row>
    <row r="55" spans="1:37" ht="12.75" customHeight="1">
      <c r="A55" s="874" t="s">
        <v>22</v>
      </c>
      <c r="B55" s="875"/>
      <c r="C55" s="875"/>
      <c r="D55" s="875"/>
      <c r="E55" s="875"/>
      <c r="F55" s="875"/>
      <c r="G55" s="875"/>
      <c r="H55" s="875"/>
      <c r="I55" s="875"/>
      <c r="J55" s="875"/>
      <c r="K55" s="875"/>
      <c r="L55" s="875"/>
      <c r="M55" s="875"/>
      <c r="N55" s="875"/>
      <c r="O55" s="875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32"/>
      <c r="AH55" s="532"/>
      <c r="AI55" s="532"/>
      <c r="AJ55" s="533"/>
    </row>
    <row r="56" spans="1:37" ht="12.75" customHeight="1">
      <c r="A56" s="874" t="s">
        <v>23</v>
      </c>
      <c r="B56" s="875"/>
      <c r="C56" s="875"/>
      <c r="D56" s="875"/>
      <c r="E56" s="875"/>
      <c r="F56" s="875"/>
      <c r="G56" s="875"/>
      <c r="H56" s="875"/>
      <c r="I56" s="875"/>
      <c r="J56" s="875"/>
      <c r="K56" s="875"/>
      <c r="L56" s="875"/>
      <c r="M56" s="875"/>
      <c r="N56" s="875"/>
      <c r="O56" s="875"/>
      <c r="P56" s="532"/>
      <c r="Q56" s="532"/>
      <c r="R56" s="532"/>
      <c r="S56" s="532"/>
      <c r="T56" s="532"/>
      <c r="U56" s="532"/>
      <c r="V56" s="532"/>
      <c r="W56" s="532"/>
      <c r="X56" s="532"/>
      <c r="Y56" s="532"/>
      <c r="Z56" s="532"/>
      <c r="AA56" s="532"/>
      <c r="AB56" s="532"/>
      <c r="AC56" s="532"/>
      <c r="AD56" s="532"/>
      <c r="AE56" s="532"/>
      <c r="AF56" s="532"/>
      <c r="AG56" s="532"/>
      <c r="AH56" s="532"/>
      <c r="AI56" s="532"/>
      <c r="AJ56" s="533"/>
    </row>
    <row r="57" spans="1:37" ht="12.75" customHeight="1">
      <c r="A57" s="534"/>
      <c r="B57" s="535"/>
      <c r="C57" s="535"/>
      <c r="D57" s="535"/>
      <c r="E57" s="535"/>
      <c r="F57" s="535"/>
      <c r="G57" s="535"/>
      <c r="H57" s="535"/>
      <c r="I57" s="535"/>
      <c r="J57" s="535"/>
      <c r="K57" s="535"/>
      <c r="L57" s="535"/>
      <c r="M57" s="535"/>
      <c r="N57" s="535"/>
      <c r="O57" s="535"/>
      <c r="P57" s="536"/>
      <c r="Q57" s="536"/>
      <c r="R57" s="536"/>
      <c r="S57" s="536"/>
      <c r="T57" s="536"/>
      <c r="U57" s="536"/>
      <c r="V57" s="536"/>
      <c r="W57" s="536"/>
      <c r="X57" s="536"/>
      <c r="Y57" s="536"/>
      <c r="Z57" s="536"/>
      <c r="AA57" s="536"/>
      <c r="AB57" s="536"/>
      <c r="AC57" s="536"/>
      <c r="AD57" s="536"/>
      <c r="AE57" s="536"/>
      <c r="AF57" s="536"/>
      <c r="AG57" s="536"/>
      <c r="AH57" s="536"/>
      <c r="AI57" s="536"/>
      <c r="AJ57" s="537"/>
      <c r="AK57" s="534"/>
    </row>
    <row r="58" spans="1:37" ht="12.75" customHeight="1">
      <c r="A58" s="538" t="s">
        <v>13</v>
      </c>
      <c r="B58" s="531">
        <v>29</v>
      </c>
      <c r="C58" s="531">
        <v>30</v>
      </c>
      <c r="D58" s="529">
        <v>1</v>
      </c>
      <c r="E58" s="529">
        <v>2</v>
      </c>
      <c r="F58" s="529">
        <v>3</v>
      </c>
      <c r="G58" s="529">
        <v>4</v>
      </c>
      <c r="H58" s="526">
        <v>5</v>
      </c>
      <c r="I58" s="527">
        <f t="shared" si="3"/>
        <v>6</v>
      </c>
      <c r="J58" s="527">
        <f t="shared" si="3"/>
        <v>7</v>
      </c>
      <c r="K58" s="527">
        <f t="shared" si="3"/>
        <v>8</v>
      </c>
      <c r="L58" s="530">
        <f t="shared" si="3"/>
        <v>9</v>
      </c>
      <c r="M58" s="527">
        <f t="shared" si="3"/>
        <v>10</v>
      </c>
      <c r="N58" s="527">
        <f t="shared" si="3"/>
        <v>11</v>
      </c>
      <c r="O58" s="526">
        <f t="shared" si="3"/>
        <v>12</v>
      </c>
      <c r="P58" s="527">
        <f t="shared" si="3"/>
        <v>13</v>
      </c>
      <c r="Q58" s="527">
        <f t="shared" si="3"/>
        <v>14</v>
      </c>
      <c r="R58" s="527">
        <f t="shared" si="3"/>
        <v>15</v>
      </c>
      <c r="S58" s="527">
        <f t="shared" si="3"/>
        <v>16</v>
      </c>
      <c r="T58" s="527">
        <f t="shared" si="3"/>
        <v>17</v>
      </c>
      <c r="U58" s="527">
        <f t="shared" si="3"/>
        <v>18</v>
      </c>
      <c r="V58" s="526">
        <f t="shared" si="3"/>
        <v>19</v>
      </c>
      <c r="W58" s="527">
        <f t="shared" si="3"/>
        <v>20</v>
      </c>
      <c r="X58" s="527">
        <f t="shared" si="3"/>
        <v>21</v>
      </c>
      <c r="Y58" s="527">
        <f t="shared" si="4"/>
        <v>22</v>
      </c>
      <c r="Z58" s="527">
        <f t="shared" si="4"/>
        <v>23</v>
      </c>
      <c r="AA58" s="527">
        <f t="shared" si="4"/>
        <v>24</v>
      </c>
      <c r="AB58" s="527">
        <f t="shared" si="4"/>
        <v>25</v>
      </c>
      <c r="AC58" s="526">
        <f t="shared" si="4"/>
        <v>26</v>
      </c>
      <c r="AD58" s="527">
        <f t="shared" si="4"/>
        <v>27</v>
      </c>
      <c r="AE58" s="527">
        <f t="shared" si="4"/>
        <v>28</v>
      </c>
      <c r="AF58" s="527">
        <f t="shared" si="4"/>
        <v>29</v>
      </c>
      <c r="AG58" s="527">
        <f t="shared" si="4"/>
        <v>30</v>
      </c>
      <c r="AH58" s="527">
        <f t="shared" si="4"/>
        <v>31</v>
      </c>
      <c r="AI58" s="531">
        <v>1</v>
      </c>
      <c r="AJ58" s="526">
        <v>2</v>
      </c>
      <c r="AK58" s="538" t="s">
        <v>13</v>
      </c>
    </row>
    <row r="59" spans="1:37" ht="12.75" customHeight="1">
      <c r="A59" s="538" t="s">
        <v>14</v>
      </c>
      <c r="B59" s="531">
        <f>AD58</f>
        <v>27</v>
      </c>
      <c r="C59" s="531">
        <f>B59+1</f>
        <v>28</v>
      </c>
      <c r="D59" s="531">
        <f t="shared" ref="D59:F59" si="6">C59+1</f>
        <v>29</v>
      </c>
      <c r="E59" s="531">
        <f t="shared" si="6"/>
        <v>30</v>
      </c>
      <c r="F59" s="531">
        <f t="shared" si="6"/>
        <v>31</v>
      </c>
      <c r="G59" s="529">
        <v>1</v>
      </c>
      <c r="H59" s="526">
        <v>2</v>
      </c>
      <c r="I59" s="527">
        <f t="shared" si="3"/>
        <v>3</v>
      </c>
      <c r="J59" s="527">
        <f t="shared" si="3"/>
        <v>4</v>
      </c>
      <c r="K59" s="527">
        <f t="shared" si="3"/>
        <v>5</v>
      </c>
      <c r="L59" s="527">
        <f t="shared" si="3"/>
        <v>6</v>
      </c>
      <c r="M59" s="527">
        <f t="shared" si="3"/>
        <v>7</v>
      </c>
      <c r="N59" s="527">
        <f t="shared" si="3"/>
        <v>8</v>
      </c>
      <c r="O59" s="526">
        <f t="shared" si="3"/>
        <v>9</v>
      </c>
      <c r="P59" s="527">
        <f t="shared" si="3"/>
        <v>10</v>
      </c>
      <c r="Q59" s="527">
        <f t="shared" si="3"/>
        <v>11</v>
      </c>
      <c r="R59" s="527">
        <f t="shared" si="3"/>
        <v>12</v>
      </c>
      <c r="S59" s="527">
        <f t="shared" si="3"/>
        <v>13</v>
      </c>
      <c r="T59" s="527">
        <f t="shared" si="3"/>
        <v>14</v>
      </c>
      <c r="U59" s="527">
        <f t="shared" si="3"/>
        <v>15</v>
      </c>
      <c r="V59" s="526">
        <f t="shared" si="3"/>
        <v>16</v>
      </c>
      <c r="W59" s="527">
        <f t="shared" si="3"/>
        <v>17</v>
      </c>
      <c r="X59" s="527">
        <f t="shared" si="3"/>
        <v>18</v>
      </c>
      <c r="Y59" s="527">
        <f t="shared" si="4"/>
        <v>19</v>
      </c>
      <c r="Z59" s="527">
        <f t="shared" si="4"/>
        <v>20</v>
      </c>
      <c r="AA59" s="527">
        <f t="shared" si="4"/>
        <v>21</v>
      </c>
      <c r="AB59" s="527">
        <f t="shared" si="4"/>
        <v>22</v>
      </c>
      <c r="AC59" s="526">
        <f t="shared" si="4"/>
        <v>23</v>
      </c>
      <c r="AD59" s="527">
        <f t="shared" si="4"/>
        <v>24</v>
      </c>
      <c r="AE59" s="527">
        <f t="shared" si="4"/>
        <v>25</v>
      </c>
      <c r="AF59" s="527">
        <f t="shared" si="4"/>
        <v>26</v>
      </c>
      <c r="AG59" s="527">
        <f t="shared" si="4"/>
        <v>27</v>
      </c>
      <c r="AH59" s="527">
        <f t="shared" si="4"/>
        <v>28</v>
      </c>
      <c r="AI59" s="527">
        <f t="shared" si="4"/>
        <v>29</v>
      </c>
      <c r="AJ59" s="526">
        <v>30</v>
      </c>
      <c r="AK59" s="538" t="s">
        <v>14</v>
      </c>
    </row>
    <row r="60" spans="1:37" ht="12.75" customHeight="1">
      <c r="A60" s="538" t="s">
        <v>15</v>
      </c>
      <c r="B60" s="531">
        <v>31</v>
      </c>
      <c r="C60" s="529">
        <v>1</v>
      </c>
      <c r="D60" s="529">
        <v>2</v>
      </c>
      <c r="E60" s="529">
        <v>3</v>
      </c>
      <c r="F60" s="529">
        <v>4</v>
      </c>
      <c r="G60" s="529">
        <v>5</v>
      </c>
      <c r="H60" s="526">
        <v>6</v>
      </c>
      <c r="I60" s="527">
        <f t="shared" si="3"/>
        <v>7</v>
      </c>
      <c r="J60" s="527">
        <f t="shared" si="3"/>
        <v>8</v>
      </c>
      <c r="K60" s="527">
        <f t="shared" si="3"/>
        <v>9</v>
      </c>
      <c r="L60" s="527">
        <f t="shared" si="3"/>
        <v>10</v>
      </c>
      <c r="M60" s="527">
        <f t="shared" si="3"/>
        <v>11</v>
      </c>
      <c r="N60" s="527">
        <f t="shared" si="3"/>
        <v>12</v>
      </c>
      <c r="O60" s="526">
        <f t="shared" si="3"/>
        <v>13</v>
      </c>
      <c r="P60" s="527">
        <f t="shared" si="3"/>
        <v>14</v>
      </c>
      <c r="Q60" s="527">
        <f t="shared" si="3"/>
        <v>15</v>
      </c>
      <c r="R60" s="527">
        <f t="shared" si="3"/>
        <v>16</v>
      </c>
      <c r="S60" s="527">
        <f t="shared" si="3"/>
        <v>17</v>
      </c>
      <c r="T60" s="527">
        <f t="shared" si="3"/>
        <v>18</v>
      </c>
      <c r="U60" s="527">
        <f t="shared" si="3"/>
        <v>19</v>
      </c>
      <c r="V60" s="526">
        <f t="shared" si="3"/>
        <v>20</v>
      </c>
      <c r="W60" s="527">
        <f t="shared" si="3"/>
        <v>21</v>
      </c>
      <c r="X60" s="527">
        <f t="shared" si="3"/>
        <v>22</v>
      </c>
      <c r="Y60" s="527">
        <f t="shared" si="4"/>
        <v>23</v>
      </c>
      <c r="Z60" s="527">
        <f t="shared" si="4"/>
        <v>24</v>
      </c>
      <c r="AA60" s="527">
        <f t="shared" si="4"/>
        <v>25</v>
      </c>
      <c r="AB60" s="527">
        <f t="shared" si="4"/>
        <v>26</v>
      </c>
      <c r="AC60" s="526">
        <f t="shared" si="4"/>
        <v>27</v>
      </c>
      <c r="AD60" s="527">
        <f t="shared" si="4"/>
        <v>28</v>
      </c>
      <c r="AE60" s="527">
        <f t="shared" si="4"/>
        <v>29</v>
      </c>
      <c r="AF60" s="527">
        <f t="shared" si="4"/>
        <v>30</v>
      </c>
      <c r="AG60" s="531">
        <v>1</v>
      </c>
      <c r="AH60" s="531">
        <v>2</v>
      </c>
      <c r="AI60" s="531">
        <v>3</v>
      </c>
      <c r="AJ60" s="526">
        <v>4</v>
      </c>
      <c r="AK60" s="538" t="s">
        <v>15</v>
      </c>
    </row>
    <row r="61" spans="1:37" ht="12.75" customHeight="1">
      <c r="A61" s="538" t="s">
        <v>16</v>
      </c>
      <c r="B61" s="531">
        <f>AD60</f>
        <v>28</v>
      </c>
      <c r="C61" s="531">
        <v>29</v>
      </c>
      <c r="D61" s="531">
        <v>30</v>
      </c>
      <c r="E61" s="529">
        <v>1</v>
      </c>
      <c r="F61" s="529">
        <v>2</v>
      </c>
      <c r="G61" s="529">
        <v>3</v>
      </c>
      <c r="H61" s="526">
        <v>4</v>
      </c>
      <c r="I61" s="527">
        <f t="shared" si="3"/>
        <v>5</v>
      </c>
      <c r="J61" s="527">
        <f t="shared" si="3"/>
        <v>6</v>
      </c>
      <c r="K61" s="527">
        <f t="shared" si="3"/>
        <v>7</v>
      </c>
      <c r="L61" s="527">
        <f t="shared" si="3"/>
        <v>8</v>
      </c>
      <c r="M61" s="527">
        <f t="shared" si="3"/>
        <v>9</v>
      </c>
      <c r="N61" s="527">
        <f t="shared" si="3"/>
        <v>10</v>
      </c>
      <c r="O61" s="526">
        <f t="shared" si="3"/>
        <v>11</v>
      </c>
      <c r="P61" s="527">
        <f t="shared" si="3"/>
        <v>12</v>
      </c>
      <c r="Q61" s="527">
        <f t="shared" si="3"/>
        <v>13</v>
      </c>
      <c r="R61" s="527">
        <f t="shared" si="3"/>
        <v>14</v>
      </c>
      <c r="S61" s="527">
        <f t="shared" si="3"/>
        <v>15</v>
      </c>
      <c r="T61" s="527">
        <f t="shared" si="3"/>
        <v>16</v>
      </c>
      <c r="U61" s="527">
        <f t="shared" si="3"/>
        <v>17</v>
      </c>
      <c r="V61" s="526">
        <f t="shared" si="3"/>
        <v>18</v>
      </c>
      <c r="W61" s="527">
        <f t="shared" si="3"/>
        <v>19</v>
      </c>
      <c r="X61" s="527">
        <f t="shared" si="3"/>
        <v>20</v>
      </c>
      <c r="Y61" s="527">
        <f t="shared" si="4"/>
        <v>21</v>
      </c>
      <c r="Z61" s="527">
        <f t="shared" si="4"/>
        <v>22</v>
      </c>
      <c r="AA61" s="527">
        <f t="shared" si="4"/>
        <v>23</v>
      </c>
      <c r="AB61" s="527">
        <f t="shared" si="4"/>
        <v>24</v>
      </c>
      <c r="AC61" s="526">
        <f t="shared" si="4"/>
        <v>25</v>
      </c>
      <c r="AD61" s="527">
        <f t="shared" si="4"/>
        <v>26</v>
      </c>
      <c r="AE61" s="527">
        <f t="shared" si="4"/>
        <v>27</v>
      </c>
      <c r="AF61" s="527">
        <f t="shared" si="4"/>
        <v>28</v>
      </c>
      <c r="AG61" s="527">
        <f t="shared" si="4"/>
        <v>29</v>
      </c>
      <c r="AH61" s="527">
        <f t="shared" si="4"/>
        <v>30</v>
      </c>
      <c r="AI61" s="527">
        <f t="shared" si="4"/>
        <v>31</v>
      </c>
      <c r="AJ61" s="526">
        <v>1</v>
      </c>
      <c r="AK61" s="538" t="s">
        <v>16</v>
      </c>
    </row>
    <row r="62" spans="1:37" ht="12.75" customHeight="1">
      <c r="A62" s="538" t="s">
        <v>17</v>
      </c>
      <c r="B62" s="531">
        <f>AD61</f>
        <v>26</v>
      </c>
      <c r="C62" s="531">
        <f>B62+1</f>
        <v>27</v>
      </c>
      <c r="D62" s="531">
        <f t="shared" ref="D62:G62" si="7">C62+1</f>
        <v>28</v>
      </c>
      <c r="E62" s="531">
        <f t="shared" si="7"/>
        <v>29</v>
      </c>
      <c r="F62" s="531">
        <f t="shared" si="7"/>
        <v>30</v>
      </c>
      <c r="G62" s="531">
        <f t="shared" si="7"/>
        <v>31</v>
      </c>
      <c r="H62" s="526">
        <v>1</v>
      </c>
      <c r="I62" s="527">
        <f t="shared" si="3"/>
        <v>2</v>
      </c>
      <c r="J62" s="527">
        <f t="shared" si="3"/>
        <v>3</v>
      </c>
      <c r="K62" s="527">
        <f t="shared" si="3"/>
        <v>4</v>
      </c>
      <c r="L62" s="527">
        <f t="shared" si="3"/>
        <v>5</v>
      </c>
      <c r="M62" s="527">
        <f t="shared" si="3"/>
        <v>6</v>
      </c>
      <c r="N62" s="527">
        <f t="shared" si="3"/>
        <v>7</v>
      </c>
      <c r="O62" s="526">
        <f t="shared" si="3"/>
        <v>8</v>
      </c>
      <c r="P62" s="527">
        <f t="shared" si="3"/>
        <v>9</v>
      </c>
      <c r="Q62" s="527">
        <f t="shared" si="3"/>
        <v>10</v>
      </c>
      <c r="R62" s="527">
        <f t="shared" si="3"/>
        <v>11</v>
      </c>
      <c r="S62" s="527">
        <f t="shared" si="3"/>
        <v>12</v>
      </c>
      <c r="T62" s="527">
        <f t="shared" si="3"/>
        <v>13</v>
      </c>
      <c r="U62" s="527">
        <f t="shared" si="3"/>
        <v>14</v>
      </c>
      <c r="V62" s="526">
        <f t="shared" si="3"/>
        <v>15</v>
      </c>
      <c r="W62" s="527">
        <f t="shared" si="3"/>
        <v>16</v>
      </c>
      <c r="X62" s="527">
        <f t="shared" si="3"/>
        <v>17</v>
      </c>
      <c r="Y62" s="530">
        <f t="shared" si="4"/>
        <v>18</v>
      </c>
      <c r="Z62" s="527">
        <f t="shared" si="4"/>
        <v>19</v>
      </c>
      <c r="AA62" s="527">
        <f t="shared" si="4"/>
        <v>20</v>
      </c>
      <c r="AB62" s="527">
        <f t="shared" si="4"/>
        <v>21</v>
      </c>
      <c r="AC62" s="526">
        <f t="shared" si="4"/>
        <v>22</v>
      </c>
      <c r="AD62" s="527">
        <f t="shared" si="4"/>
        <v>23</v>
      </c>
      <c r="AE62" s="527">
        <f t="shared" si="4"/>
        <v>24</v>
      </c>
      <c r="AF62" s="527">
        <f t="shared" si="4"/>
        <v>25</v>
      </c>
      <c r="AG62" s="527">
        <f t="shared" si="4"/>
        <v>26</v>
      </c>
      <c r="AH62" s="527">
        <f t="shared" si="4"/>
        <v>27</v>
      </c>
      <c r="AI62" s="527">
        <f t="shared" si="4"/>
        <v>28</v>
      </c>
      <c r="AJ62" s="526">
        <v>29</v>
      </c>
      <c r="AK62" s="538" t="s">
        <v>17</v>
      </c>
    </row>
    <row r="63" spans="1:37" ht="12.75" customHeight="1">
      <c r="A63" s="538" t="s">
        <v>18</v>
      </c>
      <c r="B63" s="531">
        <v>30</v>
      </c>
      <c r="C63" s="529">
        <v>1</v>
      </c>
      <c r="D63" s="529">
        <v>2</v>
      </c>
      <c r="E63" s="529">
        <v>3</v>
      </c>
      <c r="F63" s="529">
        <v>4</v>
      </c>
      <c r="G63" s="529">
        <v>5</v>
      </c>
      <c r="H63" s="526">
        <v>6</v>
      </c>
      <c r="I63" s="527">
        <f t="shared" si="3"/>
        <v>7</v>
      </c>
      <c r="J63" s="530">
        <f t="shared" si="3"/>
        <v>8</v>
      </c>
      <c r="K63" s="527">
        <f t="shared" si="3"/>
        <v>9</v>
      </c>
      <c r="L63" s="527">
        <f t="shared" si="3"/>
        <v>10</v>
      </c>
      <c r="M63" s="527">
        <f t="shared" si="3"/>
        <v>11</v>
      </c>
      <c r="N63" s="527">
        <f t="shared" si="3"/>
        <v>12</v>
      </c>
      <c r="O63" s="526">
        <f t="shared" si="3"/>
        <v>13</v>
      </c>
      <c r="P63" s="527">
        <f t="shared" si="3"/>
        <v>14</v>
      </c>
      <c r="Q63" s="527">
        <f t="shared" si="3"/>
        <v>15</v>
      </c>
      <c r="R63" s="527">
        <f t="shared" si="3"/>
        <v>16</v>
      </c>
      <c r="S63" s="527">
        <f t="shared" si="3"/>
        <v>17</v>
      </c>
      <c r="T63" s="527">
        <f t="shared" si="3"/>
        <v>18</v>
      </c>
      <c r="U63" s="527">
        <f t="shared" si="3"/>
        <v>19</v>
      </c>
      <c r="V63" s="526">
        <f t="shared" si="3"/>
        <v>20</v>
      </c>
      <c r="W63" s="527">
        <f t="shared" si="3"/>
        <v>21</v>
      </c>
      <c r="X63" s="527">
        <f t="shared" si="3"/>
        <v>22</v>
      </c>
      <c r="Y63" s="527">
        <f t="shared" si="4"/>
        <v>23</v>
      </c>
      <c r="Z63" s="527">
        <f t="shared" si="4"/>
        <v>24</v>
      </c>
      <c r="AA63" s="530">
        <f t="shared" si="4"/>
        <v>25</v>
      </c>
      <c r="AB63" s="527">
        <f t="shared" si="4"/>
        <v>26</v>
      </c>
      <c r="AC63" s="526">
        <f t="shared" si="4"/>
        <v>27</v>
      </c>
      <c r="AD63" s="527">
        <f t="shared" si="4"/>
        <v>28</v>
      </c>
      <c r="AE63" s="527">
        <f t="shared" si="4"/>
        <v>29</v>
      </c>
      <c r="AF63" s="527">
        <f t="shared" si="4"/>
        <v>30</v>
      </c>
      <c r="AG63" s="527">
        <f t="shared" si="4"/>
        <v>31</v>
      </c>
      <c r="AH63" s="531">
        <v>1</v>
      </c>
      <c r="AI63" s="531">
        <v>2</v>
      </c>
      <c r="AJ63" s="526">
        <v>3</v>
      </c>
      <c r="AK63" s="538" t="s">
        <v>18</v>
      </c>
    </row>
    <row r="64" spans="1:37" ht="12.75" customHeight="1">
      <c r="A64" s="539"/>
      <c r="B64" s="539"/>
      <c r="C64" s="539"/>
      <c r="D64" s="539"/>
      <c r="E64" s="539"/>
      <c r="F64" s="539"/>
      <c r="G64" s="539"/>
      <c r="H64" s="539"/>
      <c r="I64" s="539"/>
      <c r="J64" s="539"/>
      <c r="K64" s="539"/>
      <c r="L64" s="539"/>
      <c r="M64" s="539"/>
      <c r="N64" s="539"/>
      <c r="O64" s="539"/>
      <c r="P64" s="539"/>
      <c r="Q64" s="539"/>
      <c r="R64" s="539"/>
      <c r="S64" s="539"/>
      <c r="T64" s="539"/>
      <c r="U64" s="539"/>
      <c r="V64" s="539"/>
      <c r="W64" s="539"/>
      <c r="X64" s="539"/>
      <c r="Y64" s="539"/>
      <c r="Z64" s="539"/>
      <c r="AA64" s="539"/>
      <c r="AB64" s="539"/>
      <c r="AC64" s="539"/>
      <c r="AD64" s="539"/>
      <c r="AE64" s="539"/>
      <c r="AF64" s="539"/>
      <c r="AG64" s="539"/>
      <c r="AH64" s="539"/>
      <c r="AI64" s="539"/>
      <c r="AJ64" s="539"/>
      <c r="AK64" s="539"/>
    </row>
    <row r="65" spans="1:37" ht="12.75" customHeight="1">
      <c r="A65" s="540">
        <v>2021</v>
      </c>
      <c r="B65" s="540" t="s">
        <v>0</v>
      </c>
      <c r="C65" s="540" t="s">
        <v>1</v>
      </c>
      <c r="D65" s="540" t="s">
        <v>2</v>
      </c>
      <c r="E65" s="540" t="s">
        <v>3</v>
      </c>
      <c r="F65" s="540" t="s">
        <v>4</v>
      </c>
      <c r="G65" s="540" t="s">
        <v>5</v>
      </c>
      <c r="H65" s="540" t="s">
        <v>6</v>
      </c>
      <c r="I65" s="540" t="s">
        <v>0</v>
      </c>
      <c r="J65" s="540" t="s">
        <v>1</v>
      </c>
      <c r="K65" s="540" t="s">
        <v>2</v>
      </c>
      <c r="L65" s="540" t="s">
        <v>3</v>
      </c>
      <c r="M65" s="540" t="s">
        <v>4</v>
      </c>
      <c r="N65" s="540" t="s">
        <v>5</v>
      </c>
      <c r="O65" s="540" t="s">
        <v>6</v>
      </c>
      <c r="P65" s="540" t="s">
        <v>0</v>
      </c>
      <c r="Q65" s="540" t="s">
        <v>1</v>
      </c>
      <c r="R65" s="540" t="s">
        <v>2</v>
      </c>
      <c r="S65" s="540" t="s">
        <v>3</v>
      </c>
      <c r="T65" s="540" t="s">
        <v>4</v>
      </c>
      <c r="U65" s="540" t="s">
        <v>5</v>
      </c>
      <c r="V65" s="540" t="s">
        <v>6</v>
      </c>
      <c r="W65" s="540" t="s">
        <v>0</v>
      </c>
      <c r="X65" s="540" t="s">
        <v>1</v>
      </c>
      <c r="Y65" s="540" t="s">
        <v>2</v>
      </c>
      <c r="Z65" s="540" t="s">
        <v>3</v>
      </c>
      <c r="AA65" s="540" t="s">
        <v>4</v>
      </c>
      <c r="AB65" s="540" t="s">
        <v>5</v>
      </c>
      <c r="AC65" s="540" t="s">
        <v>6</v>
      </c>
      <c r="AD65" s="540" t="s">
        <v>0</v>
      </c>
      <c r="AE65" s="540" t="s">
        <v>1</v>
      </c>
      <c r="AF65" s="540" t="s">
        <v>2</v>
      </c>
      <c r="AG65" s="540" t="s">
        <v>3</v>
      </c>
      <c r="AH65" s="540" t="s">
        <v>4</v>
      </c>
      <c r="AI65" s="540" t="s">
        <v>5</v>
      </c>
      <c r="AJ65" s="540" t="s">
        <v>6</v>
      </c>
      <c r="AK65" s="540">
        <v>2021</v>
      </c>
    </row>
    <row r="66" spans="1:37" ht="12.75" customHeight="1">
      <c r="A66" s="541" t="s">
        <v>7</v>
      </c>
      <c r="B66" s="542">
        <v>28</v>
      </c>
      <c r="C66" s="542">
        <v>29</v>
      </c>
      <c r="D66" s="548">
        <v>30</v>
      </c>
      <c r="E66" s="542">
        <v>31</v>
      </c>
      <c r="F66" s="541">
        <v>1</v>
      </c>
      <c r="G66" s="541">
        <v>2</v>
      </c>
      <c r="H66" s="543">
        <v>3</v>
      </c>
      <c r="I66" s="541">
        <v>4</v>
      </c>
      <c r="J66" s="541">
        <v>5</v>
      </c>
      <c r="K66" s="541">
        <v>6</v>
      </c>
      <c r="L66" s="541">
        <v>7</v>
      </c>
      <c r="M66" s="541">
        <v>8</v>
      </c>
      <c r="N66" s="541">
        <v>9</v>
      </c>
      <c r="O66" s="543">
        <v>10</v>
      </c>
      <c r="P66" s="541">
        <v>11</v>
      </c>
      <c r="Q66" s="541">
        <v>12</v>
      </c>
      <c r="R66" s="541">
        <v>13</v>
      </c>
      <c r="S66" s="541">
        <v>14</v>
      </c>
      <c r="T66" s="541">
        <v>15</v>
      </c>
      <c r="U66" s="541">
        <v>16</v>
      </c>
      <c r="V66" s="543">
        <v>17</v>
      </c>
      <c r="W66" s="541">
        <v>18</v>
      </c>
      <c r="X66" s="541">
        <v>19</v>
      </c>
      <c r="Y66" s="541">
        <v>20</v>
      </c>
      <c r="Z66" s="541">
        <v>21</v>
      </c>
      <c r="AA66" s="541">
        <v>22</v>
      </c>
      <c r="AB66" s="541">
        <v>23</v>
      </c>
      <c r="AC66" s="543">
        <v>24</v>
      </c>
      <c r="AD66" s="541">
        <v>25</v>
      </c>
      <c r="AE66" s="541">
        <v>26</v>
      </c>
      <c r="AF66" s="541">
        <v>27</v>
      </c>
      <c r="AG66" s="541">
        <v>28</v>
      </c>
      <c r="AH66" s="541">
        <v>29</v>
      </c>
      <c r="AI66" s="541">
        <v>30</v>
      </c>
      <c r="AJ66" s="543">
        <v>31</v>
      </c>
      <c r="AK66" s="541" t="s">
        <v>7</v>
      </c>
    </row>
    <row r="67" spans="1:37" ht="12.75" customHeight="1">
      <c r="A67" s="541" t="s">
        <v>8</v>
      </c>
      <c r="B67" s="544">
        <v>1</v>
      </c>
      <c r="C67" s="544">
        <v>2</v>
      </c>
      <c r="D67" s="544">
        <v>3</v>
      </c>
      <c r="E67" s="544">
        <v>4</v>
      </c>
      <c r="F67" s="544">
        <v>5</v>
      </c>
      <c r="G67" s="545">
        <v>6</v>
      </c>
      <c r="H67" s="543">
        <v>7</v>
      </c>
      <c r="I67" s="541">
        <v>8</v>
      </c>
      <c r="J67" s="541">
        <v>9</v>
      </c>
      <c r="K67" s="541">
        <v>10</v>
      </c>
      <c r="L67" s="541">
        <v>11</v>
      </c>
      <c r="M67" s="541">
        <v>12</v>
      </c>
      <c r="N67" s="541">
        <v>13</v>
      </c>
      <c r="O67" s="543">
        <v>14</v>
      </c>
      <c r="P67" s="541">
        <v>15</v>
      </c>
      <c r="Q67" s="541">
        <v>16</v>
      </c>
      <c r="R67" s="541">
        <v>17</v>
      </c>
      <c r="S67" s="541">
        <v>18</v>
      </c>
      <c r="T67" s="541">
        <v>19</v>
      </c>
      <c r="U67" s="541">
        <v>20</v>
      </c>
      <c r="V67" s="543">
        <v>21</v>
      </c>
      <c r="W67" s="546">
        <v>22</v>
      </c>
      <c r="X67" s="546">
        <v>23</v>
      </c>
      <c r="Y67" s="546">
        <v>24</v>
      </c>
      <c r="Z67" s="546">
        <v>25</v>
      </c>
      <c r="AA67" s="546">
        <v>26</v>
      </c>
      <c r="AB67" s="546">
        <v>27</v>
      </c>
      <c r="AC67" s="543">
        <v>28</v>
      </c>
      <c r="AD67" s="546">
        <v>29</v>
      </c>
      <c r="AE67" s="546">
        <v>30</v>
      </c>
      <c r="AF67" s="546">
        <v>26</v>
      </c>
      <c r="AG67" s="546">
        <v>27</v>
      </c>
      <c r="AH67" s="546">
        <v>28</v>
      </c>
      <c r="AI67" s="546">
        <v>29</v>
      </c>
      <c r="AJ67" s="543">
        <v>1</v>
      </c>
      <c r="AK67" s="541" t="s">
        <v>8</v>
      </c>
    </row>
    <row r="68" spans="1:37" ht="12.75" customHeight="1">
      <c r="A68" s="541" t="s">
        <v>1</v>
      </c>
      <c r="B68" s="544"/>
      <c r="C68" s="544"/>
      <c r="D68" s="544"/>
      <c r="E68" s="544"/>
      <c r="F68" s="544"/>
      <c r="G68" s="544"/>
      <c r="H68" s="543"/>
      <c r="I68" s="541"/>
      <c r="J68" s="541"/>
      <c r="K68" s="541"/>
      <c r="L68" s="541"/>
      <c r="M68" s="541"/>
      <c r="N68" s="541"/>
      <c r="O68" s="543"/>
      <c r="P68" s="541"/>
      <c r="Q68" s="541"/>
      <c r="R68" s="541"/>
      <c r="S68" s="541"/>
      <c r="T68" s="541"/>
      <c r="U68" s="541"/>
      <c r="V68" s="543"/>
      <c r="W68" s="541"/>
      <c r="X68" s="541"/>
      <c r="Y68" s="541"/>
      <c r="Z68" s="541"/>
      <c r="AA68" s="541"/>
      <c r="AB68" s="541"/>
      <c r="AC68" s="543"/>
      <c r="AD68" s="541"/>
      <c r="AE68" s="547"/>
      <c r="AF68" s="541"/>
      <c r="AG68" s="541"/>
      <c r="AH68" s="541"/>
      <c r="AI68" s="541"/>
      <c r="AJ68" s="543"/>
      <c r="AK68" s="541" t="s">
        <v>1</v>
      </c>
    </row>
    <row r="69" spans="1:37" ht="12.75" customHeight="1">
      <c r="A69" s="541" t="s">
        <v>10</v>
      </c>
      <c r="B69" s="544"/>
      <c r="C69" s="544"/>
      <c r="D69" s="544"/>
      <c r="E69" s="547"/>
      <c r="F69" s="545"/>
      <c r="G69" s="545"/>
      <c r="H69" s="543"/>
      <c r="I69" s="541"/>
      <c r="J69" s="541"/>
      <c r="K69" s="541"/>
      <c r="L69" s="541"/>
      <c r="M69" s="547"/>
      <c r="N69" s="541"/>
      <c r="O69" s="543"/>
      <c r="P69" s="541"/>
      <c r="Q69" s="541"/>
      <c r="R69" s="541"/>
      <c r="S69" s="541"/>
      <c r="T69" s="541"/>
      <c r="U69" s="541"/>
      <c r="V69" s="543"/>
      <c r="W69" s="541"/>
      <c r="X69" s="541"/>
      <c r="Y69" s="541"/>
      <c r="Z69" s="541"/>
      <c r="AA69" s="541"/>
      <c r="AB69" s="541"/>
      <c r="AC69" s="543"/>
      <c r="AD69" s="541"/>
      <c r="AE69" s="541"/>
      <c r="AF69" s="541"/>
      <c r="AG69" s="541"/>
      <c r="AH69" s="544"/>
      <c r="AI69" s="544"/>
      <c r="AJ69" s="543"/>
      <c r="AK69" s="541" t="s">
        <v>10</v>
      </c>
    </row>
    <row r="70" spans="1:37" ht="12.75" customHeight="1">
      <c r="A70" s="541" t="s">
        <v>11</v>
      </c>
      <c r="B70" s="544"/>
      <c r="C70" s="544"/>
      <c r="D70" s="544"/>
      <c r="E70" s="544"/>
      <c r="F70" s="547"/>
      <c r="G70" s="545"/>
      <c r="H70" s="543"/>
      <c r="I70" s="541"/>
      <c r="J70" s="541"/>
      <c r="K70" s="541"/>
      <c r="L70" s="541"/>
      <c r="M70" s="541"/>
      <c r="N70" s="541"/>
      <c r="O70" s="543"/>
      <c r="P70" s="541"/>
      <c r="Q70" s="541"/>
      <c r="R70" s="541"/>
      <c r="S70" s="541"/>
      <c r="T70" s="541"/>
      <c r="U70" s="541"/>
      <c r="V70" s="543"/>
      <c r="W70" s="541"/>
      <c r="X70" s="541"/>
      <c r="Y70" s="541"/>
      <c r="Z70" s="541"/>
      <c r="AA70" s="541"/>
      <c r="AB70" s="541"/>
      <c r="AC70" s="543"/>
      <c r="AD70" s="547"/>
      <c r="AE70" s="541"/>
      <c r="AF70" s="541"/>
      <c r="AG70" s="541"/>
      <c r="AH70" s="541"/>
      <c r="AI70" s="541"/>
      <c r="AJ70" s="543"/>
      <c r="AK70" s="541" t="s">
        <v>11</v>
      </c>
    </row>
    <row r="71" spans="1:37" ht="12.75" customHeight="1">
      <c r="A71" s="541" t="s">
        <v>12</v>
      </c>
      <c r="B71" s="545">
        <v>1</v>
      </c>
      <c r="C71" s="545">
        <v>2</v>
      </c>
      <c r="D71" s="545">
        <v>3</v>
      </c>
      <c r="E71" s="545">
        <v>4</v>
      </c>
      <c r="F71" s="545">
        <v>5</v>
      </c>
      <c r="G71" s="545">
        <v>6</v>
      </c>
      <c r="H71" s="543">
        <v>7</v>
      </c>
      <c r="I71" s="541">
        <v>8</v>
      </c>
      <c r="J71" s="541">
        <v>9</v>
      </c>
      <c r="K71" s="541">
        <v>10</v>
      </c>
      <c r="L71" s="541">
        <v>11</v>
      </c>
      <c r="M71" s="541">
        <v>12</v>
      </c>
      <c r="N71" s="541">
        <v>13</v>
      </c>
      <c r="O71" s="543">
        <v>14</v>
      </c>
      <c r="P71" s="541">
        <v>15</v>
      </c>
      <c r="Q71" s="541">
        <v>16</v>
      </c>
      <c r="R71" s="541">
        <v>17</v>
      </c>
      <c r="S71" s="541">
        <v>18</v>
      </c>
      <c r="T71" s="541">
        <v>19</v>
      </c>
      <c r="U71" s="547">
        <v>20</v>
      </c>
      <c r="V71" s="543">
        <v>21</v>
      </c>
      <c r="W71" s="541">
        <v>22</v>
      </c>
      <c r="X71" s="541">
        <v>23</v>
      </c>
      <c r="Y71" s="541">
        <v>24</v>
      </c>
      <c r="Z71" s="541">
        <v>25</v>
      </c>
      <c r="AA71" s="541">
        <v>26</v>
      </c>
      <c r="AB71" s="541">
        <v>27</v>
      </c>
      <c r="AC71" s="543">
        <v>28</v>
      </c>
      <c r="AD71" s="541">
        <v>29</v>
      </c>
      <c r="AE71" s="541">
        <v>30</v>
      </c>
      <c r="AF71" s="544">
        <v>1</v>
      </c>
      <c r="AG71" s="544">
        <v>2</v>
      </c>
      <c r="AH71" s="544">
        <v>3</v>
      </c>
      <c r="AI71" s="544">
        <v>3</v>
      </c>
      <c r="AJ71" s="543">
        <v>5</v>
      </c>
      <c r="AK71" s="541" t="s">
        <v>12</v>
      </c>
    </row>
    <row r="72" spans="1:37" ht="12.75" customHeight="1">
      <c r="A72" s="823"/>
      <c r="B72" s="823"/>
      <c r="C72" s="823"/>
      <c r="D72" s="823"/>
      <c r="E72" s="823"/>
      <c r="F72" s="823"/>
      <c r="G72" s="823"/>
      <c r="H72" s="823"/>
      <c r="I72" s="823"/>
      <c r="J72" s="823"/>
      <c r="K72" s="823"/>
      <c r="L72" s="823"/>
      <c r="M72" s="823"/>
      <c r="N72" s="823"/>
      <c r="O72" s="823"/>
      <c r="P72" s="823"/>
      <c r="Q72" s="823"/>
      <c r="R72" s="823"/>
      <c r="S72" s="823"/>
      <c r="T72" s="823"/>
      <c r="U72" s="823"/>
      <c r="V72" s="823"/>
      <c r="W72" s="823"/>
      <c r="X72" s="823"/>
      <c r="Y72" s="823"/>
      <c r="Z72" s="823"/>
      <c r="AA72" s="823"/>
      <c r="AB72" s="823"/>
      <c r="AC72" s="823"/>
      <c r="AD72" s="823"/>
      <c r="AE72" s="823"/>
      <c r="AF72" s="823"/>
      <c r="AG72" s="823"/>
      <c r="AH72" s="823"/>
      <c r="AI72" s="823"/>
      <c r="AJ72" s="823"/>
      <c r="AK72" s="823"/>
    </row>
    <row r="73" spans="1:37" ht="12.75" customHeight="1">
      <c r="A73" s="864" t="s">
        <v>24</v>
      </c>
      <c r="B73" s="864"/>
      <c r="C73" s="864"/>
      <c r="D73" s="864"/>
      <c r="E73" s="864"/>
      <c r="F73" s="864"/>
      <c r="G73" s="864"/>
      <c r="H73" s="864"/>
      <c r="I73" s="864"/>
      <c r="J73" s="864"/>
      <c r="K73" s="864"/>
      <c r="L73" s="864"/>
      <c r="M73" s="864"/>
      <c r="N73" s="864"/>
      <c r="O73" s="864"/>
      <c r="P73" s="864"/>
      <c r="Q73" s="864"/>
      <c r="R73" s="864"/>
      <c r="S73" s="864"/>
      <c r="T73" s="864"/>
      <c r="U73" s="864"/>
      <c r="V73" s="864"/>
      <c r="W73" s="864"/>
      <c r="X73" s="864"/>
      <c r="Y73" s="864"/>
      <c r="Z73" s="864"/>
      <c r="AA73" s="864"/>
      <c r="AB73" s="864"/>
      <c r="AC73" s="864"/>
      <c r="AD73" s="864"/>
      <c r="AE73" s="864"/>
      <c r="AF73" s="864"/>
      <c r="AG73" s="864"/>
      <c r="AH73" s="865"/>
      <c r="AI73" s="865"/>
      <c r="AJ73" s="865"/>
    </row>
    <row r="74" spans="1:37" ht="12.75" customHeight="1">
      <c r="A74" s="823"/>
      <c r="B74" s="823"/>
      <c r="C74" s="823"/>
      <c r="D74" s="823"/>
      <c r="E74" s="823"/>
      <c r="F74" s="823"/>
      <c r="G74" s="823"/>
      <c r="H74" s="823"/>
      <c r="I74" s="823"/>
      <c r="J74" s="823"/>
      <c r="K74" s="823"/>
      <c r="L74" s="823"/>
      <c r="M74" s="823"/>
      <c r="N74" s="823"/>
      <c r="O74" s="823"/>
      <c r="P74" s="823"/>
      <c r="Q74" s="823"/>
      <c r="R74" s="823"/>
      <c r="S74" s="823"/>
      <c r="T74" s="823"/>
      <c r="U74" s="823"/>
      <c r="V74" s="823"/>
      <c r="W74" s="823"/>
      <c r="X74" s="823"/>
      <c r="Y74" s="823"/>
      <c r="Z74" s="823"/>
      <c r="AA74" s="823"/>
      <c r="AB74" s="823"/>
      <c r="AC74" s="823"/>
      <c r="AD74" s="823"/>
      <c r="AE74" s="823"/>
      <c r="AF74" s="823"/>
      <c r="AG74" s="823"/>
      <c r="AH74" s="822"/>
      <c r="AI74" s="822"/>
      <c r="AJ74" s="822"/>
      <c r="AK74" s="823"/>
    </row>
    <row r="75" spans="1:37" ht="12.75" customHeight="1">
      <c r="A75" s="843">
        <v>43983</v>
      </c>
      <c r="B75" s="843"/>
      <c r="C75" s="844" t="s">
        <v>25</v>
      </c>
      <c r="D75" s="844"/>
      <c r="E75" s="844"/>
      <c r="F75" s="844"/>
      <c r="G75" s="844"/>
      <c r="H75" s="844"/>
      <c r="I75" s="813"/>
      <c r="J75" s="848"/>
      <c r="K75" s="849"/>
      <c r="L75" s="850"/>
      <c r="M75" s="848"/>
      <c r="N75" s="849"/>
      <c r="O75" s="850"/>
      <c r="P75" s="848"/>
      <c r="Q75" s="849"/>
      <c r="R75" s="850"/>
      <c r="S75" s="848"/>
      <c r="T75" s="849"/>
      <c r="U75" s="850"/>
      <c r="V75" s="848"/>
      <c r="W75" s="849"/>
      <c r="X75" s="850"/>
      <c r="Y75" s="843">
        <v>43983</v>
      </c>
      <c r="Z75" s="843"/>
      <c r="AA75" s="843"/>
      <c r="AB75" s="851">
        <v>112616.16</v>
      </c>
      <c r="AC75" s="851"/>
      <c r="AD75" s="851"/>
      <c r="AE75" s="846"/>
      <c r="AF75" s="846"/>
      <c r="AG75" s="846"/>
      <c r="AH75" s="842">
        <f>AH73+AB75-AE75</f>
        <v>112616.16</v>
      </c>
      <c r="AI75" s="842"/>
      <c r="AJ75" s="842"/>
    </row>
    <row r="76" spans="1:37" ht="12.75" customHeight="1">
      <c r="A76" s="843">
        <v>43983</v>
      </c>
      <c r="B76" s="843"/>
      <c r="C76" s="844" t="s">
        <v>25</v>
      </c>
      <c r="D76" s="844"/>
      <c r="E76" s="844"/>
      <c r="F76" s="844"/>
      <c r="G76" s="844"/>
      <c r="H76" s="844"/>
      <c r="I76" s="813"/>
      <c r="J76" s="848"/>
      <c r="K76" s="849"/>
      <c r="L76" s="850"/>
      <c r="M76" s="848"/>
      <c r="N76" s="849"/>
      <c r="O76" s="850"/>
      <c r="P76" s="848"/>
      <c r="Q76" s="849"/>
      <c r="R76" s="850"/>
      <c r="S76" s="848"/>
      <c r="T76" s="849"/>
      <c r="U76" s="850"/>
      <c r="V76" s="848"/>
      <c r="W76" s="849"/>
      <c r="X76" s="850"/>
      <c r="Y76" s="843">
        <v>43989</v>
      </c>
      <c r="Z76" s="843"/>
      <c r="AA76" s="843"/>
      <c r="AB76" s="851"/>
      <c r="AC76" s="851"/>
      <c r="AD76" s="851"/>
      <c r="AE76" s="842">
        <v>80000</v>
      </c>
      <c r="AF76" s="842"/>
      <c r="AG76" s="842"/>
      <c r="AH76" s="842">
        <f>AH74+AB76-AE76</f>
        <v>-80000</v>
      </c>
      <c r="AI76" s="842"/>
      <c r="AJ76" s="842"/>
    </row>
    <row r="77" spans="1:37" ht="12.75" customHeight="1">
      <c r="A77" s="843">
        <v>43983</v>
      </c>
      <c r="B77" s="843"/>
      <c r="C77" s="844" t="s">
        <v>26</v>
      </c>
      <c r="D77" s="844"/>
      <c r="E77" s="844"/>
      <c r="F77" s="844"/>
      <c r="G77" s="844"/>
      <c r="H77" s="844"/>
      <c r="I77" s="813"/>
      <c r="J77" s="848"/>
      <c r="K77" s="849"/>
      <c r="L77" s="850"/>
      <c r="M77" s="848"/>
      <c r="N77" s="849"/>
      <c r="O77" s="850"/>
      <c r="P77" s="848"/>
      <c r="Q77" s="849"/>
      <c r="R77" s="850"/>
      <c r="S77" s="848"/>
      <c r="T77" s="849"/>
      <c r="U77" s="850"/>
      <c r="V77" s="848"/>
      <c r="W77" s="849"/>
      <c r="X77" s="850"/>
      <c r="Y77" s="843">
        <v>43983</v>
      </c>
      <c r="Z77" s="843"/>
      <c r="AA77" s="843"/>
      <c r="AB77" s="851"/>
      <c r="AC77" s="851"/>
      <c r="AD77" s="851"/>
      <c r="AE77" s="842">
        <v>34868.82</v>
      </c>
      <c r="AF77" s="842"/>
      <c r="AG77" s="842"/>
      <c r="AH77" s="842">
        <f>AH75+AB77-AE77</f>
        <v>77747.34</v>
      </c>
      <c r="AI77" s="842"/>
      <c r="AJ77" s="842"/>
    </row>
    <row r="78" spans="1:37" ht="12.75" customHeight="1">
      <c r="A78" s="843">
        <v>43983</v>
      </c>
      <c r="B78" s="843"/>
      <c r="C78" s="844" t="s">
        <v>27</v>
      </c>
      <c r="D78" s="844"/>
      <c r="E78" s="844"/>
      <c r="F78" s="844"/>
      <c r="G78" s="844"/>
      <c r="H78" s="844"/>
      <c r="I78" s="813"/>
      <c r="J78" s="881">
        <v>1000</v>
      </c>
      <c r="K78" s="882"/>
      <c r="L78" s="883"/>
      <c r="M78" s="881">
        <v>125</v>
      </c>
      <c r="N78" s="882"/>
      <c r="O78" s="883"/>
      <c r="P78" s="881"/>
      <c r="Q78" s="882"/>
      <c r="R78" s="883"/>
      <c r="S78" s="881"/>
      <c r="T78" s="882"/>
      <c r="U78" s="883"/>
      <c r="V78" s="881"/>
      <c r="W78" s="882"/>
      <c r="X78" s="883"/>
      <c r="Y78" s="847"/>
      <c r="Z78" s="847"/>
      <c r="AA78" s="847"/>
      <c r="AB78" s="842">
        <f>J78*M78</f>
        <v>125000</v>
      </c>
      <c r="AC78" s="842"/>
      <c r="AD78" s="842"/>
      <c r="AE78" s="842"/>
      <c r="AF78" s="842"/>
      <c r="AG78" s="842"/>
      <c r="AH78" s="842">
        <f>AH76+AB78-AE78</f>
        <v>45000</v>
      </c>
      <c r="AI78" s="842"/>
      <c r="AJ78" s="842"/>
    </row>
    <row r="79" spans="1:37" ht="12.75" customHeight="1">
      <c r="A79" s="843">
        <v>43983</v>
      </c>
      <c r="B79" s="843"/>
      <c r="C79" s="844" t="s">
        <v>28</v>
      </c>
      <c r="D79" s="844"/>
      <c r="E79" s="844"/>
      <c r="F79" s="844"/>
      <c r="G79" s="844"/>
      <c r="H79" s="844"/>
      <c r="I79" s="813"/>
      <c r="J79" s="848"/>
      <c r="K79" s="849"/>
      <c r="L79" s="850"/>
      <c r="M79" s="848"/>
      <c r="N79" s="849"/>
      <c r="O79" s="850"/>
      <c r="P79" s="848"/>
      <c r="Q79" s="849"/>
      <c r="R79" s="850"/>
      <c r="S79" s="848"/>
      <c r="T79" s="849"/>
      <c r="U79" s="850"/>
      <c r="V79" s="848"/>
      <c r="W79" s="849"/>
      <c r="X79" s="850"/>
      <c r="Y79" s="843"/>
      <c r="Z79" s="843"/>
      <c r="AA79" s="843"/>
      <c r="AB79" s="851"/>
      <c r="AC79" s="851"/>
      <c r="AD79" s="851"/>
      <c r="AE79" s="842">
        <v>78454.240000000005</v>
      </c>
      <c r="AF79" s="842"/>
      <c r="AG79" s="842"/>
      <c r="AH79" s="842">
        <f>AH76+AB79-AE79</f>
        <v>-158454.24</v>
      </c>
      <c r="AI79" s="842"/>
      <c r="AJ79" s="842"/>
    </row>
    <row r="80" spans="1:37" ht="12.75" customHeight="1">
      <c r="A80" s="843">
        <v>43987</v>
      </c>
      <c r="B80" s="843"/>
      <c r="C80" s="844" t="s">
        <v>29</v>
      </c>
      <c r="D80" s="844"/>
      <c r="E80" s="844"/>
      <c r="F80" s="844"/>
      <c r="G80" s="844"/>
      <c r="H80" s="844"/>
      <c r="I80" s="813" t="s">
        <v>30</v>
      </c>
      <c r="J80" s="848"/>
      <c r="K80" s="849"/>
      <c r="L80" s="850"/>
      <c r="M80" s="848"/>
      <c r="N80" s="849"/>
      <c r="O80" s="850"/>
      <c r="P80" s="848"/>
      <c r="Q80" s="849"/>
      <c r="R80" s="850"/>
      <c r="S80" s="848"/>
      <c r="T80" s="849"/>
      <c r="U80" s="850"/>
      <c r="V80" s="848"/>
      <c r="W80" s="849"/>
      <c r="X80" s="850"/>
      <c r="Y80" s="843"/>
      <c r="Z80" s="843"/>
      <c r="AA80" s="843"/>
      <c r="AB80" s="851">
        <v>6394.42</v>
      </c>
      <c r="AC80" s="851"/>
      <c r="AD80" s="851"/>
      <c r="AE80" s="846"/>
      <c r="AF80" s="846"/>
      <c r="AG80" s="846"/>
      <c r="AH80" s="842">
        <f>AH74+AB80-AE80</f>
        <v>6394.42</v>
      </c>
      <c r="AI80" s="842"/>
      <c r="AJ80" s="842"/>
    </row>
    <row r="81" spans="1:36" ht="12.75" customHeight="1">
      <c r="A81" s="873">
        <v>43987</v>
      </c>
      <c r="B81" s="873"/>
      <c r="C81" s="876" t="s">
        <v>31</v>
      </c>
      <c r="D81" s="876"/>
      <c r="E81" s="876"/>
      <c r="F81" s="876"/>
      <c r="G81" s="876"/>
      <c r="H81" s="876"/>
      <c r="I81" s="821" t="s">
        <v>30</v>
      </c>
      <c r="J81" s="866"/>
      <c r="K81" s="867"/>
      <c r="L81" s="868"/>
      <c r="M81" s="866"/>
      <c r="N81" s="867"/>
      <c r="O81" s="868"/>
      <c r="P81" s="866"/>
      <c r="Q81" s="867"/>
      <c r="R81" s="868"/>
      <c r="S81" s="866"/>
      <c r="T81" s="867"/>
      <c r="U81" s="868"/>
      <c r="V81" s="866"/>
      <c r="W81" s="867"/>
      <c r="X81" s="868"/>
      <c r="Y81" s="873"/>
      <c r="Z81" s="873"/>
      <c r="AA81" s="873"/>
      <c r="AB81" s="871">
        <v>32000</v>
      </c>
      <c r="AC81" s="871"/>
      <c r="AD81" s="871"/>
      <c r="AE81" s="870"/>
      <c r="AF81" s="870"/>
      <c r="AG81" s="870"/>
      <c r="AH81" s="871">
        <f>AH75+AB81-AE81</f>
        <v>144616.16</v>
      </c>
      <c r="AI81" s="871"/>
      <c r="AJ81" s="871"/>
    </row>
    <row r="82" spans="1:36" ht="12.75" customHeight="1">
      <c r="A82" s="843">
        <v>43987</v>
      </c>
      <c r="B82" s="843"/>
      <c r="C82" s="844" t="s">
        <v>32</v>
      </c>
      <c r="D82" s="844"/>
      <c r="E82" s="844"/>
      <c r="F82" s="844"/>
      <c r="G82" s="844"/>
      <c r="H82" s="844"/>
      <c r="I82" s="813" t="s">
        <v>30</v>
      </c>
      <c r="J82" s="846"/>
      <c r="K82" s="846"/>
      <c r="L82" s="846"/>
      <c r="M82" s="846"/>
      <c r="N82" s="846"/>
      <c r="O82" s="846"/>
      <c r="P82" s="846"/>
      <c r="Q82" s="846"/>
      <c r="R82" s="846"/>
      <c r="S82" s="846"/>
      <c r="T82" s="846"/>
      <c r="U82" s="846"/>
      <c r="V82" s="846"/>
      <c r="W82" s="846"/>
      <c r="X82" s="846"/>
      <c r="Y82" s="843"/>
      <c r="Z82" s="843"/>
      <c r="AA82" s="843"/>
      <c r="AB82" s="842">
        <v>14000</v>
      </c>
      <c r="AC82" s="842"/>
      <c r="AD82" s="842"/>
      <c r="AE82" s="846"/>
      <c r="AF82" s="846"/>
      <c r="AG82" s="846"/>
      <c r="AH82" s="842">
        <f t="shared" ref="AH82" si="8">AH81+AB82-AE82</f>
        <v>158616.16</v>
      </c>
      <c r="AI82" s="842"/>
      <c r="AJ82" s="842"/>
    </row>
    <row r="83" spans="1:36" ht="12.75" customHeight="1">
      <c r="A83" s="843">
        <v>43987</v>
      </c>
      <c r="B83" s="843"/>
      <c r="C83" s="844" t="s">
        <v>33</v>
      </c>
      <c r="D83" s="844"/>
      <c r="E83" s="844"/>
      <c r="F83" s="844"/>
      <c r="G83" s="844"/>
      <c r="H83" s="844"/>
      <c r="I83" s="813" t="s">
        <v>34</v>
      </c>
      <c r="J83" s="846"/>
      <c r="K83" s="846"/>
      <c r="L83" s="846"/>
      <c r="M83" s="846"/>
      <c r="N83" s="846"/>
      <c r="O83" s="846"/>
      <c r="P83" s="846"/>
      <c r="Q83" s="846"/>
      <c r="R83" s="846"/>
      <c r="S83" s="846"/>
      <c r="T83" s="846"/>
      <c r="U83" s="846"/>
      <c r="V83" s="846"/>
      <c r="W83" s="846"/>
      <c r="X83" s="846"/>
      <c r="Y83" s="843"/>
      <c r="Z83" s="843"/>
      <c r="AA83" s="843"/>
      <c r="AB83" s="842">
        <v>2000</v>
      </c>
      <c r="AC83" s="842"/>
      <c r="AD83" s="842"/>
      <c r="AE83" s="846"/>
      <c r="AF83" s="846"/>
      <c r="AG83" s="846"/>
      <c r="AH83" s="842">
        <f t="shared" ref="AH83" si="9">AH82+AB83-AE83</f>
        <v>160616.16</v>
      </c>
      <c r="AI83" s="842"/>
      <c r="AJ83" s="842"/>
    </row>
    <row r="84" spans="1:36" ht="12.75" customHeight="1">
      <c r="A84" s="857">
        <v>43989</v>
      </c>
      <c r="B84" s="857"/>
      <c r="C84" s="858" t="s">
        <v>35</v>
      </c>
      <c r="D84" s="858"/>
      <c r="E84" s="858"/>
      <c r="F84" s="858"/>
      <c r="G84" s="858"/>
      <c r="H84" s="858"/>
      <c r="I84" s="815"/>
      <c r="J84" s="859" t="s">
        <v>36</v>
      </c>
      <c r="K84" s="860"/>
      <c r="L84" s="860"/>
      <c r="M84" s="860"/>
      <c r="N84" s="860"/>
      <c r="O84" s="860"/>
      <c r="P84" s="860"/>
      <c r="Q84" s="860"/>
      <c r="R84" s="860"/>
      <c r="S84" s="860"/>
      <c r="T84" s="860"/>
      <c r="U84" s="860"/>
      <c r="V84" s="861"/>
      <c r="W84" s="861"/>
      <c r="X84" s="861"/>
      <c r="Y84" s="843">
        <v>43992</v>
      </c>
      <c r="Z84" s="843"/>
      <c r="AA84" s="843"/>
      <c r="AB84" s="862">
        <v>2400</v>
      </c>
      <c r="AC84" s="862"/>
      <c r="AD84" s="862"/>
      <c r="AE84" s="861"/>
      <c r="AF84" s="861"/>
      <c r="AG84" s="861"/>
      <c r="AH84" s="842">
        <f t="shared" ref="AH84:AH100" si="10">AH83+AB84-AE84</f>
        <v>163016.16</v>
      </c>
      <c r="AI84" s="842"/>
      <c r="AJ84" s="842"/>
    </row>
    <row r="85" spans="1:36" ht="12.75" customHeight="1">
      <c r="A85" s="857">
        <v>43989</v>
      </c>
      <c r="B85" s="857"/>
      <c r="C85" s="858" t="s">
        <v>37</v>
      </c>
      <c r="D85" s="858"/>
      <c r="E85" s="858"/>
      <c r="F85" s="858"/>
      <c r="G85" s="858"/>
      <c r="H85" s="858"/>
      <c r="I85" s="816">
        <v>36</v>
      </c>
      <c r="J85" s="859"/>
      <c r="K85" s="860"/>
      <c r="L85" s="860"/>
      <c r="M85" s="860"/>
      <c r="N85" s="860"/>
      <c r="O85" s="860"/>
      <c r="P85" s="860"/>
      <c r="Q85" s="860"/>
      <c r="R85" s="860"/>
      <c r="S85" s="860"/>
      <c r="T85" s="860"/>
      <c r="U85" s="860"/>
      <c r="V85" s="861"/>
      <c r="W85" s="861"/>
      <c r="X85" s="861"/>
      <c r="Y85" s="843">
        <v>43989</v>
      </c>
      <c r="Z85" s="843"/>
      <c r="AA85" s="843"/>
      <c r="AB85" s="862"/>
      <c r="AC85" s="862"/>
      <c r="AD85" s="862"/>
      <c r="AE85" s="861"/>
      <c r="AF85" s="861"/>
      <c r="AG85" s="861"/>
      <c r="AH85" s="842">
        <f t="shared" ref="AH85" si="11">AH84+AB85-AE85</f>
        <v>163016.16</v>
      </c>
      <c r="AI85" s="842"/>
      <c r="AJ85" s="842"/>
    </row>
    <row r="86" spans="1:36" ht="12.75" customHeight="1">
      <c r="A86" s="843">
        <v>43992</v>
      </c>
      <c r="B86" s="843"/>
      <c r="C86" s="844" t="s">
        <v>38</v>
      </c>
      <c r="D86" s="844"/>
      <c r="E86" s="844"/>
      <c r="F86" s="844"/>
      <c r="G86" s="844"/>
      <c r="H86" s="844"/>
      <c r="I86" s="549"/>
      <c r="J86" s="852" t="s">
        <v>39</v>
      </c>
      <c r="K86" s="846"/>
      <c r="L86" s="846"/>
      <c r="M86" s="846"/>
      <c r="N86" s="846"/>
      <c r="O86" s="846"/>
      <c r="P86" s="846"/>
      <c r="Q86" s="846"/>
      <c r="R86" s="846"/>
      <c r="S86" s="846"/>
      <c r="T86" s="846"/>
      <c r="U86" s="846"/>
      <c r="V86" s="847"/>
      <c r="W86" s="847"/>
      <c r="X86" s="847"/>
      <c r="Y86" s="843">
        <v>43992</v>
      </c>
      <c r="Z86" s="843"/>
      <c r="AA86" s="843"/>
      <c r="AB86" s="842"/>
      <c r="AC86" s="842"/>
      <c r="AD86" s="842"/>
      <c r="AE86" s="842">
        <v>7000</v>
      </c>
      <c r="AF86" s="842"/>
      <c r="AG86" s="842"/>
      <c r="AH86" s="842">
        <f>AH84+AB86-AE86</f>
        <v>156016.16</v>
      </c>
      <c r="AI86" s="842"/>
      <c r="AJ86" s="842"/>
    </row>
    <row r="87" spans="1:36" ht="12.75" customHeight="1">
      <c r="A87" s="843">
        <v>43992</v>
      </c>
      <c r="B87" s="843"/>
      <c r="C87" s="844" t="s">
        <v>40</v>
      </c>
      <c r="D87" s="844"/>
      <c r="E87" s="844"/>
      <c r="F87" s="844"/>
      <c r="G87" s="844"/>
      <c r="H87" s="844"/>
      <c r="I87" s="813">
        <v>68</v>
      </c>
      <c r="J87" s="845" t="s">
        <v>41</v>
      </c>
      <c r="K87" s="845"/>
      <c r="L87" s="845"/>
      <c r="M87" s="846"/>
      <c r="N87" s="846"/>
      <c r="O87" s="846"/>
      <c r="P87" s="846"/>
      <c r="Q87" s="846"/>
      <c r="R87" s="846"/>
      <c r="S87" s="846"/>
      <c r="T87" s="846"/>
      <c r="U87" s="846"/>
      <c r="V87" s="847"/>
      <c r="W87" s="847"/>
      <c r="X87" s="847"/>
      <c r="Y87" s="843"/>
      <c r="Z87" s="843"/>
      <c r="AA87" s="843"/>
      <c r="AB87" s="842">
        <v>2400</v>
      </c>
      <c r="AC87" s="842"/>
      <c r="AD87" s="842"/>
      <c r="AE87" s="842"/>
      <c r="AF87" s="842"/>
      <c r="AG87" s="842"/>
      <c r="AH87" s="842">
        <f t="shared" si="10"/>
        <v>158416.16</v>
      </c>
      <c r="AI87" s="842"/>
      <c r="AJ87" s="842"/>
    </row>
    <row r="88" spans="1:36" ht="12.75" customHeight="1">
      <c r="A88" s="843">
        <v>43992</v>
      </c>
      <c r="B88" s="843"/>
      <c r="C88" s="844" t="s">
        <v>40</v>
      </c>
      <c r="D88" s="844"/>
      <c r="E88" s="844"/>
      <c r="F88" s="844"/>
      <c r="G88" s="844"/>
      <c r="H88" s="844"/>
      <c r="I88" s="813">
        <v>71</v>
      </c>
      <c r="J88" s="845" t="s">
        <v>42</v>
      </c>
      <c r="K88" s="845"/>
      <c r="L88" s="845"/>
      <c r="M88" s="846"/>
      <c r="N88" s="846"/>
      <c r="O88" s="846"/>
      <c r="P88" s="846"/>
      <c r="Q88" s="846"/>
      <c r="R88" s="846"/>
      <c r="S88" s="846"/>
      <c r="T88" s="846"/>
      <c r="U88" s="846"/>
      <c r="V88" s="847"/>
      <c r="W88" s="847"/>
      <c r="X88" s="847"/>
      <c r="Y88" s="843"/>
      <c r="Z88" s="843"/>
      <c r="AA88" s="843"/>
      <c r="AB88" s="842">
        <v>1200</v>
      </c>
      <c r="AC88" s="842"/>
      <c r="AD88" s="842"/>
      <c r="AE88" s="842"/>
      <c r="AF88" s="842"/>
      <c r="AG88" s="842"/>
      <c r="AH88" s="842">
        <f t="shared" si="10"/>
        <v>159616.16</v>
      </c>
      <c r="AI88" s="842"/>
      <c r="AJ88" s="842"/>
    </row>
    <row r="89" spans="1:36" ht="12.75" customHeight="1">
      <c r="A89" s="843">
        <v>43992</v>
      </c>
      <c r="B89" s="843"/>
      <c r="C89" s="844" t="s">
        <v>40</v>
      </c>
      <c r="D89" s="844"/>
      <c r="E89" s="844"/>
      <c r="F89" s="844"/>
      <c r="G89" s="844"/>
      <c r="H89" s="844"/>
      <c r="I89" s="813">
        <v>72</v>
      </c>
      <c r="J89" s="845" t="s">
        <v>36</v>
      </c>
      <c r="K89" s="845"/>
      <c r="L89" s="845"/>
      <c r="M89" s="846"/>
      <c r="N89" s="846"/>
      <c r="O89" s="846"/>
      <c r="P89" s="846"/>
      <c r="Q89" s="846"/>
      <c r="R89" s="846"/>
      <c r="S89" s="846"/>
      <c r="T89" s="846"/>
      <c r="U89" s="846"/>
      <c r="V89" s="847"/>
      <c r="W89" s="847"/>
      <c r="X89" s="847"/>
      <c r="Y89" s="843"/>
      <c r="Z89" s="843"/>
      <c r="AA89" s="843"/>
      <c r="AB89" s="842">
        <v>1800</v>
      </c>
      <c r="AC89" s="842"/>
      <c r="AD89" s="842"/>
      <c r="AE89" s="842"/>
      <c r="AF89" s="842"/>
      <c r="AG89" s="842"/>
      <c r="AH89" s="842">
        <f t="shared" si="10"/>
        <v>161416.16</v>
      </c>
      <c r="AI89" s="842"/>
      <c r="AJ89" s="842"/>
    </row>
    <row r="90" spans="1:36" ht="12.75" customHeight="1">
      <c r="A90" s="843">
        <v>43992</v>
      </c>
      <c r="B90" s="843"/>
      <c r="C90" s="844" t="s">
        <v>43</v>
      </c>
      <c r="D90" s="844"/>
      <c r="E90" s="844"/>
      <c r="F90" s="844"/>
      <c r="G90" s="844"/>
      <c r="H90" s="844"/>
      <c r="I90" s="813">
        <v>74</v>
      </c>
      <c r="J90" s="845" t="s">
        <v>44</v>
      </c>
      <c r="K90" s="845"/>
      <c r="L90" s="845"/>
      <c r="M90" s="846"/>
      <c r="N90" s="846"/>
      <c r="O90" s="846"/>
      <c r="P90" s="846"/>
      <c r="Q90" s="846"/>
      <c r="R90" s="846"/>
      <c r="S90" s="846"/>
      <c r="T90" s="846"/>
      <c r="U90" s="846"/>
      <c r="V90" s="847"/>
      <c r="W90" s="847"/>
      <c r="X90" s="847"/>
      <c r="Y90" s="843"/>
      <c r="Z90" s="843"/>
      <c r="AA90" s="843"/>
      <c r="AB90" s="842">
        <v>1200</v>
      </c>
      <c r="AC90" s="842"/>
      <c r="AD90" s="842"/>
      <c r="AE90" s="842"/>
      <c r="AF90" s="842"/>
      <c r="AG90" s="842"/>
      <c r="AH90" s="842">
        <f t="shared" si="10"/>
        <v>162616.16</v>
      </c>
      <c r="AI90" s="842"/>
      <c r="AJ90" s="842"/>
    </row>
    <row r="91" spans="1:36" ht="14.25">
      <c r="A91" s="843">
        <v>43992</v>
      </c>
      <c r="B91" s="843"/>
      <c r="C91" s="844" t="s">
        <v>45</v>
      </c>
      <c r="D91" s="844"/>
      <c r="E91" s="844"/>
      <c r="F91" s="844"/>
      <c r="G91" s="844"/>
      <c r="H91" s="844"/>
      <c r="I91" s="813"/>
      <c r="J91" s="845"/>
      <c r="K91" s="845"/>
      <c r="L91" s="845"/>
      <c r="M91" s="846"/>
      <c r="N91" s="846"/>
      <c r="O91" s="846"/>
      <c r="P91" s="846"/>
      <c r="Q91" s="846"/>
      <c r="R91" s="846"/>
      <c r="S91" s="846"/>
      <c r="T91" s="846"/>
      <c r="U91" s="846"/>
      <c r="V91" s="847"/>
      <c r="W91" s="847"/>
      <c r="X91" s="847"/>
      <c r="Y91" s="843">
        <v>43992</v>
      </c>
      <c r="Z91" s="843"/>
      <c r="AA91" s="843"/>
      <c r="AB91" s="841"/>
      <c r="AC91" s="841"/>
      <c r="AD91" s="841"/>
      <c r="AE91" s="842">
        <v>2303.09</v>
      </c>
      <c r="AF91" s="842"/>
      <c r="AG91" s="842"/>
      <c r="AH91" s="842">
        <f t="shared" si="10"/>
        <v>160313.07</v>
      </c>
      <c r="AI91" s="842"/>
      <c r="AJ91" s="842"/>
    </row>
    <row r="92" spans="1:36" ht="14.25">
      <c r="A92" s="843">
        <v>43992</v>
      </c>
      <c r="B92" s="843"/>
      <c r="C92" s="844" t="s">
        <v>46</v>
      </c>
      <c r="D92" s="844"/>
      <c r="E92" s="844"/>
      <c r="F92" s="844"/>
      <c r="G92" s="844"/>
      <c r="H92" s="844"/>
      <c r="I92" s="813"/>
      <c r="J92" s="845"/>
      <c r="K92" s="845"/>
      <c r="L92" s="845"/>
      <c r="M92" s="846"/>
      <c r="N92" s="846"/>
      <c r="O92" s="846"/>
      <c r="P92" s="846"/>
      <c r="Q92" s="846"/>
      <c r="R92" s="846"/>
      <c r="S92" s="846"/>
      <c r="T92" s="846"/>
      <c r="U92" s="846"/>
      <c r="V92" s="847"/>
      <c r="W92" s="847"/>
      <c r="X92" s="847"/>
      <c r="Y92" s="843">
        <v>43992</v>
      </c>
      <c r="Z92" s="843"/>
      <c r="AA92" s="843"/>
      <c r="AB92" s="841"/>
      <c r="AC92" s="841"/>
      <c r="AD92" s="841"/>
      <c r="AE92" s="842">
        <v>2303.09</v>
      </c>
      <c r="AF92" s="842"/>
      <c r="AG92" s="842"/>
      <c r="AH92" s="842">
        <f t="shared" si="10"/>
        <v>158009.98000000001</v>
      </c>
      <c r="AI92" s="842"/>
      <c r="AJ92" s="842"/>
    </row>
    <row r="93" spans="1:36" ht="12.75" customHeight="1">
      <c r="A93" s="843">
        <v>43994</v>
      </c>
      <c r="B93" s="843"/>
      <c r="C93" s="844" t="s">
        <v>47</v>
      </c>
      <c r="D93" s="844"/>
      <c r="E93" s="844"/>
      <c r="F93" s="844"/>
      <c r="G93" s="844"/>
      <c r="H93" s="844"/>
      <c r="I93" s="813"/>
      <c r="J93" s="845"/>
      <c r="K93" s="845"/>
      <c r="L93" s="845"/>
      <c r="M93" s="846"/>
      <c r="N93" s="846"/>
      <c r="O93" s="846"/>
      <c r="P93" s="846"/>
      <c r="Q93" s="846"/>
      <c r="R93" s="846"/>
      <c r="S93" s="846"/>
      <c r="T93" s="846"/>
      <c r="U93" s="846"/>
      <c r="V93" s="847"/>
      <c r="W93" s="847"/>
      <c r="X93" s="847"/>
      <c r="Y93" s="843">
        <v>43992</v>
      </c>
      <c r="Z93" s="843"/>
      <c r="AA93" s="843"/>
      <c r="AB93" s="841"/>
      <c r="AC93" s="841"/>
      <c r="AD93" s="841"/>
      <c r="AE93" s="842">
        <v>499</v>
      </c>
      <c r="AF93" s="842"/>
      <c r="AG93" s="842"/>
      <c r="AH93" s="842">
        <f t="shared" si="10"/>
        <v>157510.98000000001</v>
      </c>
      <c r="AI93" s="842"/>
      <c r="AJ93" s="842"/>
    </row>
    <row r="94" spans="1:36" ht="12.75" customHeight="1">
      <c r="A94" s="843">
        <v>43994</v>
      </c>
      <c r="B94" s="843"/>
      <c r="C94" s="844" t="s">
        <v>25</v>
      </c>
      <c r="D94" s="844"/>
      <c r="E94" s="844"/>
      <c r="F94" s="844"/>
      <c r="G94" s="844"/>
      <c r="H94" s="844"/>
      <c r="I94" s="813"/>
      <c r="J94" s="845"/>
      <c r="K94" s="845"/>
      <c r="L94" s="845"/>
      <c r="M94" s="846"/>
      <c r="N94" s="846"/>
      <c r="O94" s="846"/>
      <c r="P94" s="846"/>
      <c r="Q94" s="846"/>
      <c r="R94" s="846"/>
      <c r="S94" s="846"/>
      <c r="T94" s="846"/>
      <c r="U94" s="846"/>
      <c r="V94" s="847"/>
      <c r="W94" s="847"/>
      <c r="X94" s="847"/>
      <c r="Y94" s="843">
        <v>43994</v>
      </c>
      <c r="Z94" s="843"/>
      <c r="AA94" s="843"/>
      <c r="AB94" s="841"/>
      <c r="AC94" s="841"/>
      <c r="AD94" s="841"/>
      <c r="AE94" s="842">
        <f>10000*2</f>
        <v>20000</v>
      </c>
      <c r="AF94" s="842"/>
      <c r="AG94" s="842"/>
      <c r="AH94" s="842">
        <f t="shared" ref="AH94" si="12">AH93+AB94-AE94</f>
        <v>137510.98000000001</v>
      </c>
      <c r="AI94" s="842"/>
      <c r="AJ94" s="842"/>
    </row>
    <row r="95" spans="1:36" ht="12.75" customHeight="1">
      <c r="A95" s="843">
        <v>43998</v>
      </c>
      <c r="B95" s="843"/>
      <c r="C95" s="844" t="s">
        <v>48</v>
      </c>
      <c r="D95" s="844"/>
      <c r="E95" s="844"/>
      <c r="F95" s="844"/>
      <c r="G95" s="844"/>
      <c r="H95" s="844"/>
      <c r="I95" s="813"/>
      <c r="J95" s="845" t="s">
        <v>49</v>
      </c>
      <c r="K95" s="845"/>
      <c r="L95" s="845"/>
      <c r="M95" s="846"/>
      <c r="N95" s="846"/>
      <c r="O95" s="846"/>
      <c r="P95" s="846"/>
      <c r="Q95" s="846"/>
      <c r="R95" s="846"/>
      <c r="S95" s="846"/>
      <c r="T95" s="846"/>
      <c r="U95" s="846"/>
      <c r="V95" s="847"/>
      <c r="W95" s="847"/>
      <c r="X95" s="847"/>
      <c r="Y95" s="843">
        <v>43992</v>
      </c>
      <c r="Z95" s="843"/>
      <c r="AA95" s="843"/>
      <c r="AB95" s="841"/>
      <c r="AC95" s="841"/>
      <c r="AD95" s="841"/>
      <c r="AE95" s="842">
        <v>6500</v>
      </c>
      <c r="AF95" s="842"/>
      <c r="AG95" s="842"/>
      <c r="AH95" s="842">
        <f>AH93+AB95-AE95</f>
        <v>151010.98000000001</v>
      </c>
      <c r="AI95" s="842"/>
      <c r="AJ95" s="842"/>
    </row>
    <row r="96" spans="1:36" ht="12.75" customHeight="1">
      <c r="A96" s="843">
        <v>43999</v>
      </c>
      <c r="B96" s="843"/>
      <c r="C96" s="844" t="s">
        <v>50</v>
      </c>
      <c r="D96" s="844"/>
      <c r="E96" s="844"/>
      <c r="F96" s="844"/>
      <c r="G96" s="844"/>
      <c r="H96" s="844"/>
      <c r="I96" s="813"/>
      <c r="J96" s="845"/>
      <c r="K96" s="845"/>
      <c r="L96" s="845"/>
      <c r="M96" s="846"/>
      <c r="N96" s="846"/>
      <c r="O96" s="846"/>
      <c r="P96" s="846"/>
      <c r="Q96" s="846"/>
      <c r="R96" s="846"/>
      <c r="S96" s="846"/>
      <c r="T96" s="846"/>
      <c r="U96" s="846"/>
      <c r="V96" s="847"/>
      <c r="W96" s="847"/>
      <c r="X96" s="847"/>
      <c r="Y96" s="843">
        <v>43992</v>
      </c>
      <c r="Z96" s="843"/>
      <c r="AA96" s="843"/>
      <c r="AB96" s="841"/>
      <c r="AC96" s="841"/>
      <c r="AD96" s="841"/>
      <c r="AE96" s="842">
        <v>461.4</v>
      </c>
      <c r="AF96" s="842"/>
      <c r="AG96" s="842"/>
      <c r="AH96" s="842">
        <f t="shared" si="10"/>
        <v>150549.58000000002</v>
      </c>
      <c r="AI96" s="842"/>
      <c r="AJ96" s="842"/>
    </row>
    <row r="97" spans="1:37" ht="12.75" customHeight="1">
      <c r="A97" s="843">
        <v>44003</v>
      </c>
      <c r="B97" s="843"/>
      <c r="C97" s="844" t="s">
        <v>51</v>
      </c>
      <c r="D97" s="844"/>
      <c r="E97" s="844"/>
      <c r="F97" s="844"/>
      <c r="G97" s="844"/>
      <c r="H97" s="844"/>
      <c r="I97" s="813">
        <v>1</v>
      </c>
      <c r="J97" s="845"/>
      <c r="K97" s="845"/>
      <c r="L97" s="845"/>
      <c r="M97" s="846"/>
      <c r="N97" s="846"/>
      <c r="O97" s="846"/>
      <c r="P97" s="846"/>
      <c r="Q97" s="846"/>
      <c r="R97" s="846"/>
      <c r="S97" s="846"/>
      <c r="T97" s="846"/>
      <c r="U97" s="846"/>
      <c r="V97" s="847"/>
      <c r="W97" s="847"/>
      <c r="X97" s="847"/>
      <c r="Y97" s="843"/>
      <c r="Z97" s="843"/>
      <c r="AA97" s="843"/>
      <c r="AB97" s="841"/>
      <c r="AC97" s="841"/>
      <c r="AD97" s="841"/>
      <c r="AE97" s="842"/>
      <c r="AF97" s="842"/>
      <c r="AG97" s="842"/>
      <c r="AH97" s="842">
        <f t="shared" si="10"/>
        <v>150549.58000000002</v>
      </c>
      <c r="AI97" s="842"/>
      <c r="AJ97" s="842"/>
    </row>
    <row r="98" spans="1:37" ht="12.75" customHeight="1">
      <c r="A98" s="843">
        <v>44004</v>
      </c>
      <c r="B98" s="843"/>
      <c r="C98" s="844" t="s">
        <v>48</v>
      </c>
      <c r="D98" s="844"/>
      <c r="E98" s="844"/>
      <c r="F98" s="844"/>
      <c r="G98" s="844"/>
      <c r="H98" s="844"/>
      <c r="I98" s="813"/>
      <c r="J98" s="845"/>
      <c r="K98" s="845"/>
      <c r="L98" s="845"/>
      <c r="M98" s="846"/>
      <c r="N98" s="846"/>
      <c r="O98" s="846"/>
      <c r="P98" s="846"/>
      <c r="Q98" s="846"/>
      <c r="R98" s="846"/>
      <c r="S98" s="846"/>
      <c r="T98" s="846"/>
      <c r="U98" s="846"/>
      <c r="V98" s="847"/>
      <c r="W98" s="847"/>
      <c r="X98" s="847"/>
      <c r="Y98" s="843">
        <v>43993</v>
      </c>
      <c r="Z98" s="843"/>
      <c r="AA98" s="843"/>
      <c r="AB98" s="841"/>
      <c r="AC98" s="841"/>
      <c r="AD98" s="841"/>
      <c r="AE98" s="842">
        <v>6000</v>
      </c>
      <c r="AF98" s="842"/>
      <c r="AG98" s="842"/>
      <c r="AH98" s="842">
        <f t="shared" si="10"/>
        <v>144549.58000000002</v>
      </c>
      <c r="AI98" s="842"/>
      <c r="AJ98" s="842"/>
    </row>
    <row r="99" spans="1:37" ht="12.75" customHeight="1">
      <c r="A99" s="843">
        <v>44004</v>
      </c>
      <c r="B99" s="843"/>
      <c r="C99" s="844" t="s">
        <v>52</v>
      </c>
      <c r="D99" s="844"/>
      <c r="E99" s="844"/>
      <c r="F99" s="844"/>
      <c r="G99" s="844"/>
      <c r="H99" s="844"/>
      <c r="I99" s="813"/>
      <c r="J99" s="845"/>
      <c r="K99" s="845"/>
      <c r="L99" s="845"/>
      <c r="M99" s="846"/>
      <c r="N99" s="846"/>
      <c r="O99" s="846"/>
      <c r="P99" s="846"/>
      <c r="Q99" s="846"/>
      <c r="R99" s="846"/>
      <c r="S99" s="846"/>
      <c r="T99" s="846"/>
      <c r="U99" s="846"/>
      <c r="V99" s="847"/>
      <c r="W99" s="847"/>
      <c r="X99" s="847"/>
      <c r="Y99" s="843">
        <v>43993</v>
      </c>
      <c r="Z99" s="843"/>
      <c r="AA99" s="843"/>
      <c r="AB99" s="841"/>
      <c r="AC99" s="841"/>
      <c r="AD99" s="841"/>
      <c r="AE99" s="842">
        <v>6000</v>
      </c>
      <c r="AF99" s="842"/>
      <c r="AG99" s="842"/>
      <c r="AH99" s="842">
        <f t="shared" si="10"/>
        <v>138549.58000000002</v>
      </c>
      <c r="AI99" s="842"/>
      <c r="AJ99" s="842"/>
    </row>
    <row r="100" spans="1:37" ht="12.75" customHeight="1">
      <c r="A100" s="843">
        <v>44004</v>
      </c>
      <c r="B100" s="843"/>
      <c r="C100" s="844" t="s">
        <v>53</v>
      </c>
      <c r="D100" s="844"/>
      <c r="E100" s="844"/>
      <c r="F100" s="844"/>
      <c r="G100" s="844"/>
      <c r="H100" s="844"/>
      <c r="I100" s="813"/>
      <c r="J100" s="845"/>
      <c r="K100" s="845"/>
      <c r="L100" s="845"/>
      <c r="M100" s="846"/>
      <c r="N100" s="846"/>
      <c r="O100" s="846"/>
      <c r="P100" s="846"/>
      <c r="Q100" s="846"/>
      <c r="R100" s="846"/>
      <c r="S100" s="846"/>
      <c r="T100" s="846"/>
      <c r="U100" s="846"/>
      <c r="V100" s="847"/>
      <c r="W100" s="847"/>
      <c r="X100" s="847"/>
      <c r="Y100" s="843">
        <v>43992</v>
      </c>
      <c r="Z100" s="843"/>
      <c r="AA100" s="843"/>
      <c r="AB100" s="841"/>
      <c r="AC100" s="841"/>
      <c r="AD100" s="841"/>
      <c r="AE100" s="842">
        <v>579.04</v>
      </c>
      <c r="AF100" s="842"/>
      <c r="AG100" s="842"/>
      <c r="AH100" s="842">
        <f t="shared" si="10"/>
        <v>137970.54</v>
      </c>
      <c r="AI100" s="842"/>
      <c r="AJ100" s="842"/>
    </row>
    <row r="101" spans="1:37" ht="12.75" customHeight="1">
      <c r="A101" s="843">
        <v>44004</v>
      </c>
      <c r="B101" s="843"/>
      <c r="C101" s="844" t="s">
        <v>25</v>
      </c>
      <c r="D101" s="844"/>
      <c r="E101" s="844"/>
      <c r="F101" s="844"/>
      <c r="G101" s="844"/>
      <c r="H101" s="844"/>
      <c r="I101" s="813"/>
      <c r="J101" s="848"/>
      <c r="K101" s="849"/>
      <c r="L101" s="850"/>
      <c r="M101" s="848"/>
      <c r="N101" s="849"/>
      <c r="O101" s="850"/>
      <c r="P101" s="848"/>
      <c r="Q101" s="849"/>
      <c r="R101" s="850"/>
      <c r="S101" s="848"/>
      <c r="T101" s="849"/>
      <c r="U101" s="850"/>
      <c r="V101" s="848"/>
      <c r="W101" s="849"/>
      <c r="X101" s="850"/>
      <c r="Y101" s="843">
        <v>44004</v>
      </c>
      <c r="Z101" s="843"/>
      <c r="AA101" s="843"/>
      <c r="AB101" s="851"/>
      <c r="AC101" s="851"/>
      <c r="AD101" s="851"/>
      <c r="AE101" s="842">
        <f>80000+10000*2+10000*2</f>
        <v>120000</v>
      </c>
      <c r="AF101" s="842"/>
      <c r="AG101" s="842"/>
      <c r="AH101" s="842">
        <f>AH100+AB101-AE101</f>
        <v>17970.540000000008</v>
      </c>
      <c r="AI101" s="842"/>
      <c r="AJ101" s="842"/>
    </row>
    <row r="102" spans="1:37" ht="12.75" customHeight="1">
      <c r="A102" s="843">
        <v>44008</v>
      </c>
      <c r="B102" s="843"/>
      <c r="C102" s="844" t="s">
        <v>54</v>
      </c>
      <c r="D102" s="844"/>
      <c r="E102" s="844"/>
      <c r="F102" s="844"/>
      <c r="G102" s="844"/>
      <c r="H102" s="844"/>
      <c r="I102" s="813"/>
      <c r="J102" s="845" t="s">
        <v>55</v>
      </c>
      <c r="K102" s="845"/>
      <c r="L102" s="845"/>
      <c r="M102" s="846" t="s">
        <v>56</v>
      </c>
      <c r="N102" s="846"/>
      <c r="O102" s="846"/>
      <c r="P102" s="846" t="s">
        <v>57</v>
      </c>
      <c r="Q102" s="846"/>
      <c r="R102" s="846"/>
      <c r="S102" s="846" t="s">
        <v>58</v>
      </c>
      <c r="T102" s="846"/>
      <c r="U102" s="846"/>
      <c r="V102" s="847"/>
      <c r="W102" s="847"/>
      <c r="X102" s="847"/>
      <c r="Y102" s="843"/>
      <c r="Z102" s="843"/>
      <c r="AA102" s="843"/>
      <c r="AB102" s="841"/>
      <c r="AC102" s="841"/>
      <c r="AD102" s="841"/>
      <c r="AE102" s="842">
        <v>3343</v>
      </c>
      <c r="AF102" s="842"/>
      <c r="AG102" s="842"/>
      <c r="AH102" s="842">
        <f>AH100+AB102-AE102</f>
        <v>134627.54</v>
      </c>
      <c r="AI102" s="842"/>
      <c r="AJ102" s="842"/>
    </row>
    <row r="103" spans="1:37" ht="12.75" customHeight="1">
      <c r="A103" s="550"/>
      <c r="B103" s="550"/>
      <c r="C103" s="550"/>
      <c r="D103" s="550"/>
      <c r="E103" s="550"/>
      <c r="F103" s="550"/>
      <c r="G103" s="550"/>
      <c r="H103" s="550"/>
      <c r="I103" s="550"/>
      <c r="J103" s="550"/>
      <c r="K103" s="550"/>
      <c r="L103" s="550"/>
      <c r="M103" s="550"/>
      <c r="N103" s="550"/>
      <c r="O103" s="550"/>
      <c r="P103" s="551"/>
      <c r="Q103" s="551"/>
      <c r="R103" s="551"/>
      <c r="S103" s="551"/>
      <c r="T103" s="551"/>
      <c r="U103" s="551"/>
      <c r="V103" s="820"/>
      <c r="W103" s="820"/>
      <c r="X103" s="820"/>
      <c r="Y103" s="869"/>
      <c r="Z103" s="869"/>
      <c r="AA103" s="869"/>
      <c r="AB103" s="820"/>
      <c r="AC103" s="820"/>
      <c r="AD103" s="820"/>
      <c r="AE103" s="820"/>
      <c r="AF103" s="820"/>
      <c r="AG103" s="820"/>
      <c r="AH103" s="820"/>
      <c r="AI103" s="820"/>
      <c r="AJ103" s="820"/>
      <c r="AK103" s="550"/>
    </row>
    <row r="104" spans="1:37" ht="12.75" customHeight="1">
      <c r="A104" s="551" t="s">
        <v>59</v>
      </c>
      <c r="B104" s="551"/>
      <c r="C104" s="551"/>
      <c r="D104" s="551"/>
      <c r="E104" s="551"/>
      <c r="F104" s="551"/>
      <c r="G104" s="551"/>
      <c r="H104" s="551"/>
      <c r="I104" s="551"/>
      <c r="J104" s="551"/>
      <c r="K104" s="551"/>
      <c r="L104" s="551"/>
      <c r="M104" s="551"/>
      <c r="N104" s="551"/>
      <c r="O104" s="551"/>
      <c r="P104" s="551"/>
      <c r="Q104" s="551"/>
      <c r="R104" s="551"/>
      <c r="S104" s="551"/>
      <c r="T104" s="551"/>
      <c r="U104" s="551"/>
      <c r="V104" s="551"/>
      <c r="W104" s="551"/>
      <c r="X104" s="551"/>
      <c r="Y104" s="869"/>
      <c r="Z104" s="869"/>
      <c r="AA104" s="869"/>
      <c r="AB104" s="863">
        <f>SUM(AB75:AD102)</f>
        <v>301010.58</v>
      </c>
      <c r="AC104" s="863"/>
      <c r="AD104" s="863"/>
      <c r="AE104" s="863">
        <f>SUM(AE75:AG102)</f>
        <v>368311.68</v>
      </c>
      <c r="AF104" s="863"/>
      <c r="AG104" s="863"/>
      <c r="AH104" s="872">
        <f>AH73+AB104-AE104</f>
        <v>-67301.099999999977</v>
      </c>
      <c r="AI104" s="872"/>
      <c r="AJ104" s="872"/>
      <c r="AK104" s="551" t="s">
        <v>59</v>
      </c>
    </row>
    <row r="105" spans="1:37" ht="12.75" customHeight="1">
      <c r="A105" s="513"/>
      <c r="B105" s="513"/>
      <c r="C105" s="513"/>
      <c r="D105" s="513"/>
      <c r="E105" s="513"/>
      <c r="F105" s="513"/>
      <c r="G105" s="513"/>
      <c r="H105" s="513"/>
      <c r="I105" s="513"/>
      <c r="J105" s="513"/>
      <c r="K105" s="513"/>
      <c r="L105" s="513"/>
      <c r="M105" s="513"/>
      <c r="N105" s="513"/>
      <c r="O105" s="513"/>
      <c r="P105" s="513"/>
      <c r="Q105" s="513"/>
      <c r="R105" s="513"/>
      <c r="S105" s="513"/>
      <c r="T105" s="513"/>
      <c r="U105" s="513"/>
      <c r="V105" s="513"/>
      <c r="W105" s="513"/>
      <c r="X105" s="513"/>
      <c r="Y105" s="513"/>
      <c r="Z105" s="513"/>
      <c r="AA105" s="513"/>
      <c r="AB105" s="823"/>
      <c r="AC105" s="823"/>
      <c r="AD105" s="823"/>
      <c r="AE105" s="822"/>
      <c r="AF105" s="822"/>
      <c r="AG105" s="822"/>
      <c r="AH105" s="822"/>
      <c r="AI105" s="822"/>
      <c r="AJ105" s="822"/>
      <c r="AK105" s="513"/>
    </row>
    <row r="106" spans="1:37" ht="12.75" customHeight="1">
      <c r="A106" s="552" t="s">
        <v>13</v>
      </c>
      <c r="B106" s="544">
        <v>29</v>
      </c>
      <c r="C106" s="544">
        <v>30</v>
      </c>
      <c r="D106" s="545">
        <v>1</v>
      </c>
      <c r="E106" s="545">
        <v>2</v>
      </c>
      <c r="F106" s="545">
        <v>3</v>
      </c>
      <c r="G106" s="545">
        <v>4</v>
      </c>
      <c r="H106" s="543">
        <v>5</v>
      </c>
      <c r="I106" s="541">
        <f t="shared" ref="I106:I182" si="13">H106+1</f>
        <v>6</v>
      </c>
      <c r="J106" s="541">
        <f t="shared" ref="J106:J182" si="14">I106+1</f>
        <v>7</v>
      </c>
      <c r="K106" s="541">
        <f t="shared" ref="K106:K182" si="15">J106+1</f>
        <v>8</v>
      </c>
      <c r="L106" s="547">
        <f t="shared" ref="L106:L182" si="16">K106+1</f>
        <v>9</v>
      </c>
      <c r="M106" s="541">
        <f t="shared" ref="M106:M182" si="17">L106+1</f>
        <v>10</v>
      </c>
      <c r="N106" s="541">
        <f t="shared" ref="N106:N182" si="18">M106+1</f>
        <v>11</v>
      </c>
      <c r="O106" s="543">
        <f t="shared" ref="O106:O182" si="19">N106+1</f>
        <v>12</v>
      </c>
      <c r="P106" s="541">
        <f t="shared" ref="P106:P182" si="20">O106+1</f>
        <v>13</v>
      </c>
      <c r="Q106" s="541">
        <f t="shared" ref="Q106:Q182" si="21">P106+1</f>
        <v>14</v>
      </c>
      <c r="R106" s="541">
        <f t="shared" ref="R106:R182" si="22">Q106+1</f>
        <v>15</v>
      </c>
      <c r="S106" s="541">
        <f t="shared" ref="S106:S182" si="23">R106+1</f>
        <v>16</v>
      </c>
      <c r="T106" s="541">
        <f t="shared" ref="T106:T182" si="24">S106+1</f>
        <v>17</v>
      </c>
      <c r="U106" s="541">
        <f t="shared" ref="U106:U182" si="25">T106+1</f>
        <v>18</v>
      </c>
      <c r="V106" s="543">
        <f t="shared" ref="V106:V182" si="26">U106+1</f>
        <v>19</v>
      </c>
      <c r="W106" s="541">
        <f t="shared" ref="W106:W182" si="27">V106+1</f>
        <v>20</v>
      </c>
      <c r="X106" s="541">
        <f t="shared" ref="X106:X182" si="28">W106+1</f>
        <v>21</v>
      </c>
      <c r="Y106" s="541">
        <f t="shared" ref="Y106:Y182" si="29">X106+1</f>
        <v>22</v>
      </c>
      <c r="Z106" s="541">
        <f t="shared" ref="Z106:Z182" si="30">Y106+1</f>
        <v>23</v>
      </c>
      <c r="AA106" s="541">
        <f t="shared" ref="AA106:AA182" si="31">Z106+1</f>
        <v>24</v>
      </c>
      <c r="AB106" s="541">
        <f t="shared" ref="AB106:AB182" si="32">AA106+1</f>
        <v>25</v>
      </c>
      <c r="AC106" s="543">
        <f t="shared" ref="AC106:AC182" si="33">AB106+1</f>
        <v>26</v>
      </c>
      <c r="AD106" s="541">
        <f t="shared" ref="AD106:AD182" si="34">AC106+1</f>
        <v>27</v>
      </c>
      <c r="AE106" s="541">
        <f t="shared" ref="AE106:AE182" si="35">AD106+1</f>
        <v>28</v>
      </c>
      <c r="AF106" s="541">
        <f t="shared" ref="AF106:AF182" si="36">AE106+1</f>
        <v>29</v>
      </c>
      <c r="AG106" s="541">
        <f t="shared" ref="AG106:AG140" si="37">AF106+1</f>
        <v>30</v>
      </c>
      <c r="AH106" s="541">
        <f t="shared" ref="AH106:AH140" si="38">AG106+1</f>
        <v>31</v>
      </c>
      <c r="AI106" s="544">
        <v>1</v>
      </c>
      <c r="AJ106" s="543">
        <v>2</v>
      </c>
      <c r="AK106" s="552" t="s">
        <v>13</v>
      </c>
    </row>
    <row r="107" spans="1:37" ht="12.75" customHeight="1">
      <c r="A107" s="823"/>
      <c r="B107" s="823"/>
      <c r="C107" s="823"/>
      <c r="D107" s="823"/>
      <c r="E107" s="823"/>
      <c r="F107" s="823"/>
      <c r="G107" s="823"/>
      <c r="H107" s="823"/>
      <c r="I107" s="823"/>
      <c r="J107" s="823"/>
      <c r="K107" s="823"/>
      <c r="L107" s="823"/>
      <c r="M107" s="823"/>
      <c r="N107" s="823"/>
      <c r="O107" s="823"/>
      <c r="P107" s="823"/>
      <c r="Q107" s="823"/>
      <c r="R107" s="823"/>
      <c r="S107" s="823"/>
      <c r="T107" s="823"/>
      <c r="U107" s="823"/>
      <c r="V107" s="823"/>
      <c r="W107" s="823"/>
      <c r="X107" s="823"/>
      <c r="Y107" s="823"/>
      <c r="Z107" s="823"/>
      <c r="AA107" s="823"/>
      <c r="AB107" s="823"/>
      <c r="AC107" s="823"/>
      <c r="AD107" s="823"/>
      <c r="AE107" s="823"/>
      <c r="AF107" s="823"/>
      <c r="AG107" s="823"/>
      <c r="AH107" s="823"/>
      <c r="AI107" s="823"/>
      <c r="AJ107" s="823"/>
      <c r="AK107" s="823"/>
    </row>
    <row r="108" spans="1:37" ht="12.75" customHeight="1">
      <c r="A108" s="864" t="s">
        <v>24</v>
      </c>
      <c r="B108" s="864"/>
      <c r="C108" s="864"/>
      <c r="D108" s="864"/>
      <c r="E108" s="864"/>
      <c r="F108" s="864"/>
      <c r="G108" s="864"/>
      <c r="H108" s="864"/>
      <c r="I108" s="864"/>
      <c r="J108" s="864"/>
      <c r="K108" s="864"/>
      <c r="L108" s="864"/>
      <c r="M108" s="864"/>
      <c r="N108" s="864"/>
      <c r="O108" s="864"/>
      <c r="P108" s="864"/>
      <c r="Q108" s="864"/>
      <c r="R108" s="864"/>
      <c r="S108" s="864"/>
      <c r="T108" s="864"/>
      <c r="U108" s="864"/>
      <c r="V108" s="864"/>
      <c r="W108" s="864"/>
      <c r="X108" s="864"/>
      <c r="Y108" s="864"/>
      <c r="Z108" s="864"/>
      <c r="AA108" s="864"/>
      <c r="AB108" s="864"/>
      <c r="AC108" s="864"/>
      <c r="AD108" s="864"/>
      <c r="AE108" s="864"/>
      <c r="AF108" s="864"/>
      <c r="AG108" s="864"/>
      <c r="AH108" s="865"/>
      <c r="AI108" s="865"/>
      <c r="AJ108" s="865"/>
    </row>
    <row r="109" spans="1:37" ht="12.75" customHeight="1">
      <c r="A109" s="823"/>
      <c r="B109" s="823"/>
      <c r="C109" s="823"/>
      <c r="D109" s="823"/>
      <c r="E109" s="823"/>
      <c r="F109" s="823"/>
      <c r="G109" s="823"/>
      <c r="H109" s="823"/>
      <c r="I109" s="823"/>
      <c r="J109" s="823"/>
      <c r="K109" s="823"/>
      <c r="L109" s="823"/>
      <c r="M109" s="823"/>
      <c r="N109" s="823"/>
      <c r="O109" s="823"/>
      <c r="P109" s="823"/>
      <c r="Q109" s="823"/>
      <c r="R109" s="823"/>
      <c r="S109" s="823"/>
      <c r="T109" s="823"/>
      <c r="U109" s="823"/>
      <c r="V109" s="823"/>
      <c r="W109" s="823"/>
      <c r="X109" s="823"/>
      <c r="Y109" s="823"/>
      <c r="Z109" s="823"/>
      <c r="AA109" s="823"/>
      <c r="AB109" s="823"/>
      <c r="AC109" s="823"/>
      <c r="AD109" s="823"/>
      <c r="AE109" s="823"/>
      <c r="AF109" s="823"/>
      <c r="AG109" s="823"/>
      <c r="AH109" s="822"/>
      <c r="AI109" s="822"/>
      <c r="AJ109" s="822"/>
      <c r="AK109" s="823"/>
    </row>
    <row r="110" spans="1:37" ht="12.75" customHeight="1">
      <c r="A110" s="843">
        <v>44013</v>
      </c>
      <c r="B110" s="843"/>
      <c r="C110" s="844" t="s">
        <v>25</v>
      </c>
      <c r="D110" s="844"/>
      <c r="E110" s="844"/>
      <c r="F110" s="844"/>
      <c r="G110" s="844"/>
      <c r="H110" s="844"/>
      <c r="I110" s="813"/>
      <c r="J110" s="848"/>
      <c r="K110" s="849"/>
      <c r="L110" s="850"/>
      <c r="M110" s="848"/>
      <c r="N110" s="849"/>
      <c r="O110" s="850"/>
      <c r="P110" s="848"/>
      <c r="Q110" s="849"/>
      <c r="R110" s="850"/>
      <c r="S110" s="848"/>
      <c r="T110" s="849"/>
      <c r="U110" s="850"/>
      <c r="V110" s="848"/>
      <c r="W110" s="849"/>
      <c r="X110" s="850"/>
      <c r="Y110" s="843">
        <v>43983</v>
      </c>
      <c r="Z110" s="843"/>
      <c r="AA110" s="843"/>
      <c r="AB110" s="851"/>
      <c r="AC110" s="851"/>
      <c r="AD110" s="851"/>
      <c r="AE110" s="846"/>
      <c r="AF110" s="846"/>
      <c r="AG110" s="846"/>
      <c r="AH110" s="842">
        <f>AH108+AB110-AE110</f>
        <v>0</v>
      </c>
      <c r="AI110" s="842"/>
      <c r="AJ110" s="842"/>
    </row>
    <row r="111" spans="1:37" ht="12.75" customHeight="1">
      <c r="A111" s="843">
        <v>44013</v>
      </c>
      <c r="B111" s="843"/>
      <c r="C111" s="844" t="s">
        <v>25</v>
      </c>
      <c r="D111" s="844"/>
      <c r="E111" s="844"/>
      <c r="F111" s="844"/>
      <c r="G111" s="844"/>
      <c r="H111" s="844"/>
      <c r="I111" s="813"/>
      <c r="J111" s="848"/>
      <c r="K111" s="849"/>
      <c r="L111" s="850"/>
      <c r="M111" s="848"/>
      <c r="N111" s="849"/>
      <c r="O111" s="850"/>
      <c r="P111" s="848"/>
      <c r="Q111" s="849"/>
      <c r="R111" s="850"/>
      <c r="S111" s="848"/>
      <c r="T111" s="849"/>
      <c r="U111" s="850"/>
      <c r="V111" s="848"/>
      <c r="W111" s="849"/>
      <c r="X111" s="850"/>
      <c r="Y111" s="843">
        <v>43989</v>
      </c>
      <c r="Z111" s="843"/>
      <c r="AA111" s="843"/>
      <c r="AB111" s="851"/>
      <c r="AC111" s="851"/>
      <c r="AD111" s="851"/>
      <c r="AE111" s="842"/>
      <c r="AF111" s="842"/>
      <c r="AG111" s="842"/>
      <c r="AH111" s="842">
        <f>AH109+AB111-AE111</f>
        <v>0</v>
      </c>
      <c r="AI111" s="842"/>
      <c r="AJ111" s="842"/>
    </row>
    <row r="112" spans="1:37" ht="12.75" customHeight="1">
      <c r="A112" s="843">
        <v>44013</v>
      </c>
      <c r="B112" s="843"/>
      <c r="C112" s="844" t="s">
        <v>27</v>
      </c>
      <c r="D112" s="844"/>
      <c r="E112" s="844"/>
      <c r="F112" s="844"/>
      <c r="G112" s="844"/>
      <c r="H112" s="844"/>
      <c r="I112" s="813"/>
      <c r="J112" s="881">
        <v>1000</v>
      </c>
      <c r="K112" s="882"/>
      <c r="L112" s="883"/>
      <c r="M112" s="881">
        <v>125</v>
      </c>
      <c r="N112" s="882"/>
      <c r="O112" s="883"/>
      <c r="P112" s="881"/>
      <c r="Q112" s="882"/>
      <c r="R112" s="883"/>
      <c r="S112" s="881"/>
      <c r="T112" s="882"/>
      <c r="U112" s="883"/>
      <c r="V112" s="881"/>
      <c r="W112" s="882"/>
      <c r="X112" s="883"/>
      <c r="Y112" s="847"/>
      <c r="Z112" s="847"/>
      <c r="AA112" s="847"/>
      <c r="AB112" s="842">
        <f>J112*M112</f>
        <v>125000</v>
      </c>
      <c r="AC112" s="842"/>
      <c r="AD112" s="842"/>
      <c r="AE112" s="842"/>
      <c r="AF112" s="842"/>
      <c r="AG112" s="842"/>
      <c r="AH112" s="842">
        <f>AH111+AB112-AE112</f>
        <v>125000</v>
      </c>
      <c r="AI112" s="842"/>
      <c r="AJ112" s="842"/>
    </row>
    <row r="113" spans="1:36" ht="12.75" customHeight="1">
      <c r="A113" s="843">
        <v>44013</v>
      </c>
      <c r="B113" s="843"/>
      <c r="C113" s="844" t="s">
        <v>28</v>
      </c>
      <c r="D113" s="844"/>
      <c r="E113" s="844"/>
      <c r="F113" s="844"/>
      <c r="G113" s="844"/>
      <c r="H113" s="844"/>
      <c r="I113" s="813"/>
      <c r="J113" s="848"/>
      <c r="K113" s="849"/>
      <c r="L113" s="850"/>
      <c r="M113" s="848"/>
      <c r="N113" s="849"/>
      <c r="O113" s="850"/>
      <c r="P113" s="848"/>
      <c r="Q113" s="849"/>
      <c r="R113" s="850"/>
      <c r="S113" s="848"/>
      <c r="T113" s="849"/>
      <c r="U113" s="850"/>
      <c r="V113" s="848"/>
      <c r="W113" s="849"/>
      <c r="X113" s="850"/>
      <c r="Y113" s="843"/>
      <c r="Z113" s="843"/>
      <c r="AA113" s="843"/>
      <c r="AB113" s="851"/>
      <c r="AC113" s="851"/>
      <c r="AD113" s="851"/>
      <c r="AE113" s="842">
        <v>78454.240000000005</v>
      </c>
      <c r="AF113" s="842"/>
      <c r="AG113" s="842"/>
      <c r="AH113" s="842">
        <f>AH111+AB113-AE113</f>
        <v>-78454.240000000005</v>
      </c>
      <c r="AI113" s="842"/>
      <c r="AJ113" s="842"/>
    </row>
    <row r="114" spans="1:36" ht="12.75" customHeight="1">
      <c r="A114" s="843">
        <v>44017</v>
      </c>
      <c r="B114" s="843"/>
      <c r="C114" s="844" t="s">
        <v>29</v>
      </c>
      <c r="D114" s="844"/>
      <c r="E114" s="844"/>
      <c r="F114" s="844"/>
      <c r="G114" s="844"/>
      <c r="H114" s="844"/>
      <c r="I114" s="813" t="s">
        <v>30</v>
      </c>
      <c r="J114" s="848"/>
      <c r="K114" s="849"/>
      <c r="L114" s="850"/>
      <c r="M114" s="848"/>
      <c r="N114" s="849"/>
      <c r="O114" s="850"/>
      <c r="P114" s="848"/>
      <c r="Q114" s="849"/>
      <c r="R114" s="850"/>
      <c r="S114" s="848"/>
      <c r="T114" s="849"/>
      <c r="U114" s="850"/>
      <c r="V114" s="848"/>
      <c r="W114" s="849"/>
      <c r="X114" s="850"/>
      <c r="Y114" s="843"/>
      <c r="Z114" s="843"/>
      <c r="AA114" s="843"/>
      <c r="AB114" s="851">
        <v>6394.42</v>
      </c>
      <c r="AC114" s="851"/>
      <c r="AD114" s="851"/>
      <c r="AE114" s="846"/>
      <c r="AF114" s="846"/>
      <c r="AG114" s="846"/>
      <c r="AH114" s="842">
        <f>AH109+AB114-AE114</f>
        <v>6394.42</v>
      </c>
      <c r="AI114" s="842"/>
      <c r="AJ114" s="842"/>
    </row>
    <row r="115" spans="1:36" ht="12.75" customHeight="1">
      <c r="A115" s="873">
        <v>44017</v>
      </c>
      <c r="B115" s="873"/>
      <c r="C115" s="876" t="s">
        <v>31</v>
      </c>
      <c r="D115" s="876"/>
      <c r="E115" s="876"/>
      <c r="F115" s="876"/>
      <c r="G115" s="876"/>
      <c r="H115" s="876"/>
      <c r="I115" s="821" t="s">
        <v>30</v>
      </c>
      <c r="J115" s="866"/>
      <c r="K115" s="867"/>
      <c r="L115" s="868"/>
      <c r="M115" s="866"/>
      <c r="N115" s="867"/>
      <c r="O115" s="868"/>
      <c r="P115" s="866"/>
      <c r="Q115" s="867"/>
      <c r="R115" s="868"/>
      <c r="S115" s="866"/>
      <c r="T115" s="867"/>
      <c r="U115" s="868"/>
      <c r="V115" s="866"/>
      <c r="W115" s="867"/>
      <c r="X115" s="868"/>
      <c r="Y115" s="873"/>
      <c r="Z115" s="873"/>
      <c r="AA115" s="873"/>
      <c r="AB115" s="871">
        <v>32000</v>
      </c>
      <c r="AC115" s="871"/>
      <c r="AD115" s="871"/>
      <c r="AE115" s="870"/>
      <c r="AF115" s="870"/>
      <c r="AG115" s="870"/>
      <c r="AH115" s="871">
        <f>AH110+AB115-AE115</f>
        <v>32000</v>
      </c>
      <c r="AI115" s="871"/>
      <c r="AJ115" s="871"/>
    </row>
    <row r="116" spans="1:36" ht="12.75" customHeight="1">
      <c r="A116" s="843">
        <v>44017</v>
      </c>
      <c r="B116" s="843"/>
      <c r="C116" s="844" t="s">
        <v>32</v>
      </c>
      <c r="D116" s="844"/>
      <c r="E116" s="844"/>
      <c r="F116" s="844"/>
      <c r="G116" s="844"/>
      <c r="H116" s="844"/>
      <c r="I116" s="813" t="s">
        <v>30</v>
      </c>
      <c r="J116" s="846"/>
      <c r="K116" s="846"/>
      <c r="L116" s="846"/>
      <c r="M116" s="846"/>
      <c r="N116" s="846"/>
      <c r="O116" s="846"/>
      <c r="P116" s="846"/>
      <c r="Q116" s="846"/>
      <c r="R116" s="846"/>
      <c r="S116" s="846"/>
      <c r="T116" s="846"/>
      <c r="U116" s="846"/>
      <c r="V116" s="846"/>
      <c r="W116" s="846"/>
      <c r="X116" s="846"/>
      <c r="Y116" s="843"/>
      <c r="Z116" s="843"/>
      <c r="AA116" s="843"/>
      <c r="AB116" s="842">
        <v>14000</v>
      </c>
      <c r="AC116" s="842"/>
      <c r="AD116" s="842"/>
      <c r="AE116" s="846"/>
      <c r="AF116" s="846"/>
      <c r="AG116" s="846"/>
      <c r="AH116" s="842">
        <f t="shared" ref="AH116:AH120" si="39">AH115+AB116-AE116</f>
        <v>46000</v>
      </c>
      <c r="AI116" s="842"/>
      <c r="AJ116" s="842"/>
    </row>
    <row r="117" spans="1:36" ht="12.75" customHeight="1">
      <c r="A117" s="843">
        <v>44017</v>
      </c>
      <c r="B117" s="843"/>
      <c r="C117" s="844" t="s">
        <v>33</v>
      </c>
      <c r="D117" s="844"/>
      <c r="E117" s="844"/>
      <c r="F117" s="844"/>
      <c r="G117" s="844"/>
      <c r="H117" s="844"/>
      <c r="I117" s="813" t="s">
        <v>34</v>
      </c>
      <c r="J117" s="846"/>
      <c r="K117" s="846"/>
      <c r="L117" s="846"/>
      <c r="M117" s="846"/>
      <c r="N117" s="846"/>
      <c r="O117" s="846"/>
      <c r="P117" s="846"/>
      <c r="Q117" s="846"/>
      <c r="R117" s="846"/>
      <c r="S117" s="846"/>
      <c r="T117" s="846"/>
      <c r="U117" s="846"/>
      <c r="V117" s="846"/>
      <c r="W117" s="846"/>
      <c r="X117" s="846"/>
      <c r="Y117" s="843"/>
      <c r="Z117" s="843"/>
      <c r="AA117" s="843"/>
      <c r="AB117" s="842">
        <v>2000</v>
      </c>
      <c r="AC117" s="842"/>
      <c r="AD117" s="842"/>
      <c r="AE117" s="846"/>
      <c r="AF117" s="846"/>
      <c r="AG117" s="846"/>
      <c r="AH117" s="842">
        <f t="shared" si="39"/>
        <v>48000</v>
      </c>
      <c r="AI117" s="842"/>
      <c r="AJ117" s="842"/>
    </row>
    <row r="118" spans="1:36" ht="12.75" customHeight="1">
      <c r="A118" s="843">
        <v>44018</v>
      </c>
      <c r="B118" s="843"/>
      <c r="C118" s="844" t="s">
        <v>60</v>
      </c>
      <c r="D118" s="844"/>
      <c r="E118" s="844"/>
      <c r="F118" s="844"/>
      <c r="G118" s="844"/>
      <c r="H118" s="844"/>
      <c r="I118" s="813"/>
      <c r="J118" s="848"/>
      <c r="K118" s="849"/>
      <c r="L118" s="850"/>
      <c r="M118" s="848"/>
      <c r="N118" s="849"/>
      <c r="O118" s="850"/>
      <c r="P118" s="848"/>
      <c r="Q118" s="849"/>
      <c r="R118" s="850"/>
      <c r="S118" s="848"/>
      <c r="T118" s="849"/>
      <c r="U118" s="850"/>
      <c r="V118" s="848"/>
      <c r="W118" s="849"/>
      <c r="X118" s="850"/>
      <c r="Y118" s="843">
        <v>43983</v>
      </c>
      <c r="Z118" s="843"/>
      <c r="AA118" s="843"/>
      <c r="AB118" s="851"/>
      <c r="AC118" s="851"/>
      <c r="AD118" s="851"/>
      <c r="AE118" s="842">
        <v>16978.48</v>
      </c>
      <c r="AF118" s="842"/>
      <c r="AG118" s="842"/>
      <c r="AH118" s="842">
        <f>AH110+AB118-AE118</f>
        <v>-16978.48</v>
      </c>
      <c r="AI118" s="842"/>
      <c r="AJ118" s="842"/>
    </row>
    <row r="119" spans="1:36" ht="12.75" customHeight="1">
      <c r="A119" s="857">
        <v>44019</v>
      </c>
      <c r="B119" s="857"/>
      <c r="C119" s="858" t="s">
        <v>61</v>
      </c>
      <c r="D119" s="858"/>
      <c r="E119" s="858"/>
      <c r="F119" s="858"/>
      <c r="G119" s="858"/>
      <c r="H119" s="858"/>
      <c r="I119" s="815"/>
      <c r="J119" s="859" t="s">
        <v>62</v>
      </c>
      <c r="K119" s="860"/>
      <c r="L119" s="860"/>
      <c r="M119" s="860"/>
      <c r="N119" s="860"/>
      <c r="O119" s="860"/>
      <c r="P119" s="860"/>
      <c r="Q119" s="860"/>
      <c r="R119" s="860"/>
      <c r="S119" s="860"/>
      <c r="T119" s="860"/>
      <c r="U119" s="860"/>
      <c r="V119" s="861"/>
      <c r="W119" s="861"/>
      <c r="X119" s="861"/>
      <c r="Y119" s="843">
        <v>44020</v>
      </c>
      <c r="Z119" s="843"/>
      <c r="AA119" s="843"/>
      <c r="AB119" s="862">
        <v>2400</v>
      </c>
      <c r="AC119" s="862"/>
      <c r="AD119" s="862"/>
      <c r="AE119" s="861"/>
      <c r="AF119" s="861"/>
      <c r="AG119" s="861"/>
      <c r="AH119" s="842">
        <f>AH117+AB119-AE119</f>
        <v>50400</v>
      </c>
      <c r="AI119" s="842"/>
      <c r="AJ119" s="842"/>
    </row>
    <row r="120" spans="1:36" ht="12.75" customHeight="1">
      <c r="A120" s="857">
        <v>44020</v>
      </c>
      <c r="B120" s="857"/>
      <c r="C120" s="858" t="s">
        <v>52</v>
      </c>
      <c r="D120" s="858"/>
      <c r="E120" s="858"/>
      <c r="F120" s="858"/>
      <c r="G120" s="858"/>
      <c r="H120" s="858"/>
      <c r="I120" s="816"/>
      <c r="J120" s="884">
        <v>44032</v>
      </c>
      <c r="K120" s="857"/>
      <c r="L120" s="857"/>
      <c r="M120" s="860"/>
      <c r="N120" s="860"/>
      <c r="O120" s="860"/>
      <c r="P120" s="860"/>
      <c r="Q120" s="860"/>
      <c r="R120" s="860"/>
      <c r="S120" s="860"/>
      <c r="T120" s="860"/>
      <c r="U120" s="860"/>
      <c r="V120" s="861"/>
      <c r="W120" s="861"/>
      <c r="X120" s="861"/>
      <c r="Y120" s="843"/>
      <c r="Z120" s="843"/>
      <c r="AA120" s="843"/>
      <c r="AB120" s="862"/>
      <c r="AC120" s="862"/>
      <c r="AD120" s="862"/>
      <c r="AE120" s="861"/>
      <c r="AF120" s="861"/>
      <c r="AG120" s="861"/>
      <c r="AH120" s="842">
        <f t="shared" si="39"/>
        <v>50400</v>
      </c>
      <c r="AI120" s="842"/>
      <c r="AJ120" s="842"/>
    </row>
    <row r="121" spans="1:36" ht="12.75" customHeight="1">
      <c r="A121" s="843">
        <v>44022</v>
      </c>
      <c r="B121" s="843"/>
      <c r="C121" s="844" t="s">
        <v>38</v>
      </c>
      <c r="D121" s="844"/>
      <c r="E121" s="844"/>
      <c r="F121" s="844"/>
      <c r="G121" s="844"/>
      <c r="H121" s="844"/>
      <c r="I121" s="549"/>
      <c r="J121" s="852" t="s">
        <v>63</v>
      </c>
      <c r="K121" s="846"/>
      <c r="L121" s="846"/>
      <c r="M121" s="846"/>
      <c r="N121" s="846"/>
      <c r="O121" s="846"/>
      <c r="P121" s="846"/>
      <c r="Q121" s="846"/>
      <c r="R121" s="846"/>
      <c r="S121" s="846"/>
      <c r="T121" s="846"/>
      <c r="U121" s="846"/>
      <c r="V121" s="847"/>
      <c r="W121" s="847"/>
      <c r="X121" s="847"/>
      <c r="Y121" s="843"/>
      <c r="Z121" s="843"/>
      <c r="AA121" s="843"/>
      <c r="AB121" s="842"/>
      <c r="AC121" s="842"/>
      <c r="AD121" s="842"/>
      <c r="AE121" s="842">
        <v>7000</v>
      </c>
      <c r="AF121" s="842"/>
      <c r="AG121" s="842"/>
      <c r="AH121" s="842">
        <f>AH119+AB121-AE121</f>
        <v>43400</v>
      </c>
      <c r="AI121" s="842"/>
      <c r="AJ121" s="842"/>
    </row>
    <row r="122" spans="1:36" ht="12.75" customHeight="1">
      <c r="A122" s="843">
        <v>44022</v>
      </c>
      <c r="B122" s="843"/>
      <c r="C122" s="844" t="s">
        <v>40</v>
      </c>
      <c r="D122" s="844"/>
      <c r="E122" s="844"/>
      <c r="F122" s="844"/>
      <c r="G122" s="844"/>
      <c r="H122" s="844"/>
      <c r="I122" s="813">
        <v>68</v>
      </c>
      <c r="J122" s="845" t="s">
        <v>64</v>
      </c>
      <c r="K122" s="845"/>
      <c r="L122" s="845"/>
      <c r="M122" s="846"/>
      <c r="N122" s="846"/>
      <c r="O122" s="846"/>
      <c r="P122" s="846"/>
      <c r="Q122" s="846"/>
      <c r="R122" s="846"/>
      <c r="S122" s="846"/>
      <c r="T122" s="846"/>
      <c r="U122" s="846"/>
      <c r="V122" s="847"/>
      <c r="W122" s="847"/>
      <c r="X122" s="847"/>
      <c r="Y122" s="843"/>
      <c r="Z122" s="843"/>
      <c r="AA122" s="843"/>
      <c r="AB122" s="842">
        <v>2400</v>
      </c>
      <c r="AC122" s="842"/>
      <c r="AD122" s="842"/>
      <c r="AE122" s="842"/>
      <c r="AF122" s="842"/>
      <c r="AG122" s="842"/>
      <c r="AH122" s="842">
        <f t="shared" ref="AH122:AH129" si="40">AH121+AB122-AE122</f>
        <v>45800</v>
      </c>
      <c r="AI122" s="842"/>
      <c r="AJ122" s="842"/>
    </row>
    <row r="123" spans="1:36" ht="12.75" customHeight="1">
      <c r="A123" s="843">
        <v>44022</v>
      </c>
      <c r="B123" s="843"/>
      <c r="C123" s="844" t="s">
        <v>40</v>
      </c>
      <c r="D123" s="844"/>
      <c r="E123" s="844"/>
      <c r="F123" s="844"/>
      <c r="G123" s="844"/>
      <c r="H123" s="844"/>
      <c r="I123" s="813">
        <v>71</v>
      </c>
      <c r="J123" s="845" t="s">
        <v>65</v>
      </c>
      <c r="K123" s="845"/>
      <c r="L123" s="845"/>
      <c r="M123" s="846"/>
      <c r="N123" s="846"/>
      <c r="O123" s="846"/>
      <c r="P123" s="846"/>
      <c r="Q123" s="846"/>
      <c r="R123" s="846"/>
      <c r="S123" s="846"/>
      <c r="T123" s="846"/>
      <c r="U123" s="846"/>
      <c r="V123" s="847"/>
      <c r="W123" s="847"/>
      <c r="X123" s="847"/>
      <c r="Y123" s="843"/>
      <c r="Z123" s="843"/>
      <c r="AA123" s="843"/>
      <c r="AB123" s="842">
        <v>1200</v>
      </c>
      <c r="AC123" s="842"/>
      <c r="AD123" s="842"/>
      <c r="AE123" s="842"/>
      <c r="AF123" s="842"/>
      <c r="AG123" s="842"/>
      <c r="AH123" s="842">
        <f t="shared" si="40"/>
        <v>47000</v>
      </c>
      <c r="AI123" s="842"/>
      <c r="AJ123" s="842"/>
    </row>
    <row r="124" spans="1:36" ht="12.75" customHeight="1">
      <c r="A124" s="843">
        <v>44022</v>
      </c>
      <c r="B124" s="843"/>
      <c r="C124" s="844" t="s">
        <v>40</v>
      </c>
      <c r="D124" s="844"/>
      <c r="E124" s="844"/>
      <c r="F124" s="844"/>
      <c r="G124" s="844"/>
      <c r="H124" s="844"/>
      <c r="I124" s="813">
        <v>72</v>
      </c>
      <c r="J124" s="845" t="s">
        <v>62</v>
      </c>
      <c r="K124" s="845"/>
      <c r="L124" s="845"/>
      <c r="M124" s="846"/>
      <c r="N124" s="846"/>
      <c r="O124" s="846"/>
      <c r="P124" s="846"/>
      <c r="Q124" s="846"/>
      <c r="R124" s="846"/>
      <c r="S124" s="846"/>
      <c r="T124" s="846"/>
      <c r="U124" s="846"/>
      <c r="V124" s="847"/>
      <c r="W124" s="847"/>
      <c r="X124" s="847"/>
      <c r="Y124" s="843"/>
      <c r="Z124" s="843"/>
      <c r="AA124" s="843"/>
      <c r="AB124" s="842">
        <v>1800</v>
      </c>
      <c r="AC124" s="842"/>
      <c r="AD124" s="842"/>
      <c r="AE124" s="842"/>
      <c r="AF124" s="842"/>
      <c r="AG124" s="842"/>
      <c r="AH124" s="842">
        <f t="shared" si="40"/>
        <v>48800</v>
      </c>
      <c r="AI124" s="842"/>
      <c r="AJ124" s="842"/>
    </row>
    <row r="125" spans="1:36" ht="14.25">
      <c r="A125" s="843">
        <v>44022</v>
      </c>
      <c r="B125" s="843"/>
      <c r="C125" s="844" t="s">
        <v>43</v>
      </c>
      <c r="D125" s="844"/>
      <c r="E125" s="844"/>
      <c r="F125" s="844"/>
      <c r="G125" s="844"/>
      <c r="H125" s="844"/>
      <c r="I125" s="813">
        <v>74</v>
      </c>
      <c r="J125" s="845" t="s">
        <v>36</v>
      </c>
      <c r="K125" s="845"/>
      <c r="L125" s="845"/>
      <c r="M125" s="846"/>
      <c r="N125" s="846"/>
      <c r="O125" s="846"/>
      <c r="P125" s="846"/>
      <c r="Q125" s="846"/>
      <c r="R125" s="846"/>
      <c r="S125" s="846"/>
      <c r="T125" s="846"/>
      <c r="U125" s="846"/>
      <c r="V125" s="847"/>
      <c r="W125" s="847"/>
      <c r="X125" s="847"/>
      <c r="Y125" s="843"/>
      <c r="Z125" s="843"/>
      <c r="AA125" s="843"/>
      <c r="AB125" s="842">
        <v>1200</v>
      </c>
      <c r="AC125" s="842"/>
      <c r="AD125" s="842"/>
      <c r="AE125" s="842"/>
      <c r="AF125" s="842"/>
      <c r="AG125" s="842"/>
      <c r="AH125" s="842">
        <f t="shared" si="40"/>
        <v>50000</v>
      </c>
      <c r="AI125" s="842"/>
      <c r="AJ125" s="842"/>
    </row>
    <row r="126" spans="1:36" ht="14.25">
      <c r="A126" s="843">
        <v>44022</v>
      </c>
      <c r="B126" s="843"/>
      <c r="C126" s="844" t="s">
        <v>45</v>
      </c>
      <c r="D126" s="844"/>
      <c r="E126" s="844"/>
      <c r="F126" s="844"/>
      <c r="G126" s="844"/>
      <c r="H126" s="844"/>
      <c r="I126" s="813"/>
      <c r="J126" s="845"/>
      <c r="K126" s="845"/>
      <c r="L126" s="845"/>
      <c r="M126" s="846"/>
      <c r="N126" s="846"/>
      <c r="O126" s="846"/>
      <c r="P126" s="846"/>
      <c r="Q126" s="846"/>
      <c r="R126" s="846"/>
      <c r="S126" s="846"/>
      <c r="T126" s="846"/>
      <c r="U126" s="846"/>
      <c r="V126" s="847"/>
      <c r="W126" s="847"/>
      <c r="X126" s="847"/>
      <c r="Y126" s="843"/>
      <c r="Z126" s="843"/>
      <c r="AA126" s="843"/>
      <c r="AB126" s="841"/>
      <c r="AC126" s="841"/>
      <c r="AD126" s="841"/>
      <c r="AE126" s="842">
        <v>2303.09</v>
      </c>
      <c r="AF126" s="842"/>
      <c r="AG126" s="842"/>
      <c r="AH126" s="842">
        <f t="shared" si="40"/>
        <v>47696.91</v>
      </c>
      <c r="AI126" s="842"/>
      <c r="AJ126" s="842"/>
    </row>
    <row r="127" spans="1:36" ht="12.75" customHeight="1">
      <c r="A127" s="843">
        <v>44022</v>
      </c>
      <c r="B127" s="843"/>
      <c r="C127" s="844" t="s">
        <v>46</v>
      </c>
      <c r="D127" s="844"/>
      <c r="E127" s="844"/>
      <c r="F127" s="844"/>
      <c r="G127" s="844"/>
      <c r="H127" s="844"/>
      <c r="I127" s="813"/>
      <c r="J127" s="845"/>
      <c r="K127" s="845"/>
      <c r="L127" s="845"/>
      <c r="M127" s="846"/>
      <c r="N127" s="846"/>
      <c r="O127" s="846"/>
      <c r="P127" s="846"/>
      <c r="Q127" s="846"/>
      <c r="R127" s="846"/>
      <c r="S127" s="846"/>
      <c r="T127" s="846"/>
      <c r="U127" s="846"/>
      <c r="V127" s="847"/>
      <c r="W127" s="847"/>
      <c r="X127" s="847"/>
      <c r="Y127" s="843"/>
      <c r="Z127" s="843"/>
      <c r="AA127" s="843"/>
      <c r="AB127" s="841"/>
      <c r="AC127" s="841"/>
      <c r="AD127" s="841"/>
      <c r="AE127" s="842">
        <v>2303.09</v>
      </c>
      <c r="AF127" s="842"/>
      <c r="AG127" s="842"/>
      <c r="AH127" s="842">
        <f t="shared" si="40"/>
        <v>45393.820000000007</v>
      </c>
      <c r="AI127" s="842"/>
      <c r="AJ127" s="842"/>
    </row>
    <row r="128" spans="1:36" ht="12.75" customHeight="1">
      <c r="A128" s="843">
        <v>44027</v>
      </c>
      <c r="B128" s="843"/>
      <c r="C128" s="844" t="s">
        <v>47</v>
      </c>
      <c r="D128" s="844"/>
      <c r="E128" s="844"/>
      <c r="F128" s="844"/>
      <c r="G128" s="844"/>
      <c r="H128" s="844"/>
      <c r="I128" s="813"/>
      <c r="J128" s="845"/>
      <c r="K128" s="845"/>
      <c r="L128" s="845"/>
      <c r="M128" s="846"/>
      <c r="N128" s="846"/>
      <c r="O128" s="846"/>
      <c r="P128" s="846"/>
      <c r="Q128" s="846"/>
      <c r="R128" s="846"/>
      <c r="S128" s="846"/>
      <c r="T128" s="846"/>
      <c r="U128" s="846"/>
      <c r="V128" s="847"/>
      <c r="W128" s="847"/>
      <c r="X128" s="847"/>
      <c r="Y128" s="843"/>
      <c r="Z128" s="843"/>
      <c r="AA128" s="843"/>
      <c r="AB128" s="841"/>
      <c r="AC128" s="841"/>
      <c r="AD128" s="841"/>
      <c r="AE128" s="842">
        <v>499</v>
      </c>
      <c r="AF128" s="842"/>
      <c r="AG128" s="842"/>
      <c r="AH128" s="842">
        <f t="shared" si="40"/>
        <v>44894.820000000007</v>
      </c>
      <c r="AI128" s="842"/>
      <c r="AJ128" s="842"/>
    </row>
    <row r="129" spans="1:37" ht="12.75" customHeight="1">
      <c r="A129" s="843"/>
      <c r="B129" s="843"/>
      <c r="C129" s="844" t="s">
        <v>25</v>
      </c>
      <c r="D129" s="844"/>
      <c r="E129" s="844"/>
      <c r="F129" s="844"/>
      <c r="G129" s="844"/>
      <c r="H129" s="844"/>
      <c r="I129" s="813"/>
      <c r="J129" s="845"/>
      <c r="K129" s="845"/>
      <c r="L129" s="845"/>
      <c r="M129" s="846"/>
      <c r="N129" s="846"/>
      <c r="O129" s="846"/>
      <c r="P129" s="846"/>
      <c r="Q129" s="846"/>
      <c r="R129" s="846"/>
      <c r="S129" s="846"/>
      <c r="T129" s="846"/>
      <c r="U129" s="846"/>
      <c r="V129" s="847"/>
      <c r="W129" s="847"/>
      <c r="X129" s="847"/>
      <c r="Y129" s="843"/>
      <c r="Z129" s="843"/>
      <c r="AA129" s="843"/>
      <c r="AB129" s="841"/>
      <c r="AC129" s="841"/>
      <c r="AD129" s="841"/>
      <c r="AE129" s="842">
        <f>10000*2</f>
        <v>20000</v>
      </c>
      <c r="AF129" s="842"/>
      <c r="AG129" s="842"/>
      <c r="AH129" s="842">
        <f t="shared" si="40"/>
        <v>24894.820000000007</v>
      </c>
      <c r="AI129" s="842"/>
      <c r="AJ129" s="842"/>
    </row>
    <row r="130" spans="1:37" ht="12.75" customHeight="1">
      <c r="A130" s="843">
        <v>44026</v>
      </c>
      <c r="B130" s="843"/>
      <c r="C130" s="844" t="s">
        <v>48</v>
      </c>
      <c r="D130" s="844"/>
      <c r="E130" s="844"/>
      <c r="F130" s="844"/>
      <c r="G130" s="844"/>
      <c r="H130" s="844"/>
      <c r="I130" s="813"/>
      <c r="J130" s="885">
        <v>44032</v>
      </c>
      <c r="K130" s="885"/>
      <c r="L130" s="885"/>
      <c r="M130" s="846"/>
      <c r="N130" s="846"/>
      <c r="O130" s="846"/>
      <c r="P130" s="846"/>
      <c r="Q130" s="846"/>
      <c r="R130" s="846"/>
      <c r="S130" s="846"/>
      <c r="T130" s="846"/>
      <c r="U130" s="846"/>
      <c r="V130" s="847"/>
      <c r="W130" s="847"/>
      <c r="X130" s="847"/>
      <c r="Y130" s="843"/>
      <c r="Z130" s="843"/>
      <c r="AA130" s="843"/>
      <c r="AB130" s="841"/>
      <c r="AC130" s="841"/>
      <c r="AD130" s="841"/>
      <c r="AE130" s="842"/>
      <c r="AF130" s="842"/>
      <c r="AG130" s="842"/>
      <c r="AH130" s="842">
        <f>AH128+AB130-AE130</f>
        <v>44894.820000000007</v>
      </c>
      <c r="AI130" s="842"/>
      <c r="AJ130" s="842"/>
    </row>
    <row r="131" spans="1:37" ht="12.75" customHeight="1">
      <c r="A131" s="843"/>
      <c r="B131" s="843"/>
      <c r="C131" s="844" t="s">
        <v>50</v>
      </c>
      <c r="D131" s="844"/>
      <c r="E131" s="844"/>
      <c r="F131" s="844"/>
      <c r="G131" s="844"/>
      <c r="H131" s="844"/>
      <c r="I131" s="813"/>
      <c r="J131" s="845"/>
      <c r="K131" s="845"/>
      <c r="L131" s="845"/>
      <c r="M131" s="846"/>
      <c r="N131" s="846"/>
      <c r="O131" s="846"/>
      <c r="P131" s="846"/>
      <c r="Q131" s="846"/>
      <c r="R131" s="846"/>
      <c r="S131" s="846"/>
      <c r="T131" s="846"/>
      <c r="U131" s="846"/>
      <c r="V131" s="847"/>
      <c r="W131" s="847"/>
      <c r="X131" s="847"/>
      <c r="Y131" s="843"/>
      <c r="Z131" s="843"/>
      <c r="AA131" s="843"/>
      <c r="AB131" s="841"/>
      <c r="AC131" s="841"/>
      <c r="AD131" s="841"/>
      <c r="AE131" s="842">
        <v>461.4</v>
      </c>
      <c r="AF131" s="842"/>
      <c r="AG131" s="842"/>
      <c r="AH131" s="842">
        <f t="shared" ref="AH131:AH136" si="41">AH130+AB131-AE131</f>
        <v>44433.420000000006</v>
      </c>
      <c r="AI131" s="842"/>
      <c r="AJ131" s="842"/>
    </row>
    <row r="132" spans="1:37" ht="12.75" customHeight="1">
      <c r="A132" s="843"/>
      <c r="B132" s="843"/>
      <c r="C132" s="844"/>
      <c r="D132" s="844"/>
      <c r="E132" s="844"/>
      <c r="F132" s="844"/>
      <c r="G132" s="844"/>
      <c r="H132" s="844"/>
      <c r="I132" s="813"/>
      <c r="J132" s="845"/>
      <c r="K132" s="845"/>
      <c r="L132" s="845"/>
      <c r="M132" s="846"/>
      <c r="N132" s="846"/>
      <c r="O132" s="846"/>
      <c r="P132" s="846"/>
      <c r="Q132" s="846"/>
      <c r="R132" s="846"/>
      <c r="S132" s="846"/>
      <c r="T132" s="846"/>
      <c r="U132" s="846"/>
      <c r="V132" s="847"/>
      <c r="W132" s="847"/>
      <c r="X132" s="847"/>
      <c r="Y132" s="843"/>
      <c r="Z132" s="843"/>
      <c r="AA132" s="843"/>
      <c r="AB132" s="841"/>
      <c r="AC132" s="841"/>
      <c r="AD132" s="841"/>
      <c r="AE132" s="842"/>
      <c r="AF132" s="842"/>
      <c r="AG132" s="842"/>
      <c r="AH132" s="842">
        <f t="shared" si="41"/>
        <v>44433.420000000006</v>
      </c>
      <c r="AI132" s="842"/>
      <c r="AJ132" s="842"/>
    </row>
    <row r="133" spans="1:37" ht="12.75" customHeight="1">
      <c r="A133" s="843"/>
      <c r="B133" s="843"/>
      <c r="C133" s="844" t="s">
        <v>48</v>
      </c>
      <c r="D133" s="844"/>
      <c r="E133" s="844"/>
      <c r="F133" s="844"/>
      <c r="G133" s="844"/>
      <c r="H133" s="844"/>
      <c r="I133" s="813"/>
      <c r="J133" s="845"/>
      <c r="K133" s="845"/>
      <c r="L133" s="845"/>
      <c r="M133" s="846"/>
      <c r="N133" s="846"/>
      <c r="O133" s="846"/>
      <c r="P133" s="846"/>
      <c r="Q133" s="846"/>
      <c r="R133" s="846"/>
      <c r="S133" s="846"/>
      <c r="T133" s="846"/>
      <c r="U133" s="846"/>
      <c r="V133" s="847"/>
      <c r="W133" s="847"/>
      <c r="X133" s="847"/>
      <c r="Y133" s="843"/>
      <c r="Z133" s="843"/>
      <c r="AA133" s="843"/>
      <c r="AB133" s="841"/>
      <c r="AC133" s="841"/>
      <c r="AD133" s="841"/>
      <c r="AE133" s="842">
        <v>6000</v>
      </c>
      <c r="AF133" s="842"/>
      <c r="AG133" s="842"/>
      <c r="AH133" s="842">
        <f t="shared" si="41"/>
        <v>38433.420000000006</v>
      </c>
      <c r="AI133" s="842"/>
      <c r="AJ133" s="842"/>
    </row>
    <row r="134" spans="1:37" ht="12.75" customHeight="1">
      <c r="A134" s="843"/>
      <c r="B134" s="843"/>
      <c r="C134" s="844" t="s">
        <v>52</v>
      </c>
      <c r="D134" s="844"/>
      <c r="E134" s="844"/>
      <c r="F134" s="844"/>
      <c r="G134" s="844"/>
      <c r="H134" s="844"/>
      <c r="I134" s="813"/>
      <c r="J134" s="845" t="s">
        <v>66</v>
      </c>
      <c r="K134" s="845"/>
      <c r="L134" s="845"/>
      <c r="M134" s="846"/>
      <c r="N134" s="846"/>
      <c r="O134" s="846"/>
      <c r="P134" s="846"/>
      <c r="Q134" s="846"/>
      <c r="R134" s="846"/>
      <c r="S134" s="846"/>
      <c r="T134" s="846"/>
      <c r="U134" s="846"/>
      <c r="V134" s="847"/>
      <c r="W134" s="847"/>
      <c r="X134" s="847"/>
      <c r="Y134" s="843"/>
      <c r="Z134" s="843"/>
      <c r="AA134" s="843"/>
      <c r="AB134" s="841"/>
      <c r="AC134" s="841"/>
      <c r="AD134" s="841"/>
      <c r="AE134" s="842">
        <f>13897/12</f>
        <v>1158.0833333333333</v>
      </c>
      <c r="AF134" s="842"/>
      <c r="AG134" s="842"/>
      <c r="AH134" s="842">
        <f t="shared" si="41"/>
        <v>37275.33666666667</v>
      </c>
      <c r="AI134" s="842"/>
      <c r="AJ134" s="842"/>
    </row>
    <row r="135" spans="1:37" ht="12.75" customHeight="1">
      <c r="A135" s="843"/>
      <c r="B135" s="843"/>
      <c r="C135" s="844" t="s">
        <v>53</v>
      </c>
      <c r="D135" s="844"/>
      <c r="E135" s="844"/>
      <c r="F135" s="844"/>
      <c r="G135" s="844"/>
      <c r="H135" s="844"/>
      <c r="I135" s="813"/>
      <c r="J135" s="845"/>
      <c r="K135" s="845"/>
      <c r="L135" s="845"/>
      <c r="M135" s="846"/>
      <c r="N135" s="846"/>
      <c r="O135" s="846"/>
      <c r="P135" s="846"/>
      <c r="Q135" s="846"/>
      <c r="R135" s="846"/>
      <c r="S135" s="846"/>
      <c r="T135" s="846"/>
      <c r="U135" s="846"/>
      <c r="V135" s="847"/>
      <c r="W135" s="847"/>
      <c r="X135" s="847"/>
      <c r="Y135" s="843"/>
      <c r="Z135" s="843"/>
      <c r="AA135" s="843"/>
      <c r="AB135" s="841"/>
      <c r="AC135" s="841"/>
      <c r="AD135" s="841"/>
      <c r="AE135" s="842">
        <v>579.04</v>
      </c>
      <c r="AF135" s="842"/>
      <c r="AG135" s="842"/>
      <c r="AH135" s="842">
        <f t="shared" si="41"/>
        <v>36696.296666666669</v>
      </c>
      <c r="AI135" s="842"/>
      <c r="AJ135" s="842"/>
    </row>
    <row r="136" spans="1:37" ht="12.75" customHeight="1">
      <c r="A136" s="843">
        <v>44038</v>
      </c>
      <c r="B136" s="843"/>
      <c r="C136" s="844" t="s">
        <v>54</v>
      </c>
      <c r="D136" s="844"/>
      <c r="E136" s="844"/>
      <c r="F136" s="844"/>
      <c r="G136" s="844"/>
      <c r="H136" s="844"/>
      <c r="I136" s="813"/>
      <c r="J136" s="845" t="s">
        <v>67</v>
      </c>
      <c r="K136" s="845"/>
      <c r="L136" s="845"/>
      <c r="M136" s="846" t="s">
        <v>56</v>
      </c>
      <c r="N136" s="846"/>
      <c r="O136" s="846"/>
      <c r="P136" s="846" t="s">
        <v>57</v>
      </c>
      <c r="Q136" s="846"/>
      <c r="R136" s="846"/>
      <c r="S136" s="846" t="s">
        <v>58</v>
      </c>
      <c r="T136" s="846"/>
      <c r="U136" s="846"/>
      <c r="V136" s="847"/>
      <c r="W136" s="847"/>
      <c r="X136" s="847"/>
      <c r="Y136" s="843"/>
      <c r="Z136" s="843"/>
      <c r="AA136" s="843"/>
      <c r="AB136" s="841"/>
      <c r="AC136" s="841"/>
      <c r="AD136" s="841"/>
      <c r="AE136" s="842">
        <v>3343</v>
      </c>
      <c r="AF136" s="842"/>
      <c r="AG136" s="842"/>
      <c r="AH136" s="842">
        <f t="shared" si="41"/>
        <v>33353.296666666669</v>
      </c>
      <c r="AI136" s="842"/>
      <c r="AJ136" s="842"/>
    </row>
    <row r="137" spans="1:37" ht="12.75" customHeight="1">
      <c r="A137" s="550"/>
      <c r="B137" s="550"/>
      <c r="C137" s="550"/>
      <c r="D137" s="550"/>
      <c r="E137" s="550"/>
      <c r="F137" s="550"/>
      <c r="G137" s="550"/>
      <c r="H137" s="550"/>
      <c r="I137" s="550"/>
      <c r="J137" s="550"/>
      <c r="K137" s="550"/>
      <c r="L137" s="550"/>
      <c r="M137" s="550"/>
      <c r="N137" s="550"/>
      <c r="O137" s="550"/>
      <c r="P137" s="551"/>
      <c r="Q137" s="551"/>
      <c r="R137" s="551"/>
      <c r="S137" s="551"/>
      <c r="T137" s="551"/>
      <c r="U137" s="551"/>
      <c r="V137" s="820"/>
      <c r="W137" s="820"/>
      <c r="X137" s="820"/>
      <c r="Y137" s="869"/>
      <c r="Z137" s="869"/>
      <c r="AA137" s="869"/>
      <c r="AB137" s="820"/>
      <c r="AC137" s="820"/>
      <c r="AD137" s="820"/>
      <c r="AE137" s="820"/>
      <c r="AF137" s="820"/>
      <c r="AG137" s="820"/>
      <c r="AH137" s="820"/>
      <c r="AI137" s="820"/>
      <c r="AJ137" s="820"/>
      <c r="AK137" s="550"/>
    </row>
    <row r="138" spans="1:37" ht="12.75" customHeight="1">
      <c r="A138" s="551" t="s">
        <v>59</v>
      </c>
      <c r="B138" s="551"/>
      <c r="C138" s="551"/>
      <c r="D138" s="551"/>
      <c r="E138" s="551"/>
      <c r="F138" s="551"/>
      <c r="G138" s="551"/>
      <c r="H138" s="551"/>
      <c r="I138" s="551"/>
      <c r="J138" s="551"/>
      <c r="K138" s="551"/>
      <c r="L138" s="551"/>
      <c r="M138" s="551"/>
      <c r="N138" s="551"/>
      <c r="O138" s="551"/>
      <c r="P138" s="551"/>
      <c r="Q138" s="551"/>
      <c r="R138" s="551"/>
      <c r="S138" s="551"/>
      <c r="T138" s="551"/>
      <c r="U138" s="551"/>
      <c r="V138" s="551"/>
      <c r="W138" s="551"/>
      <c r="X138" s="551"/>
      <c r="Y138" s="869"/>
      <c r="Z138" s="869"/>
      <c r="AA138" s="869"/>
      <c r="AB138" s="863">
        <f>SUM(AB110:AD136)</f>
        <v>188394.42</v>
      </c>
      <c r="AC138" s="863"/>
      <c r="AD138" s="863"/>
      <c r="AE138" s="863">
        <f>SUM(AE110:AG136)</f>
        <v>139079.42333333334</v>
      </c>
      <c r="AF138" s="863"/>
      <c r="AG138" s="863"/>
      <c r="AH138" s="872">
        <f>AH108+AB138-AE138</f>
        <v>49314.996666666673</v>
      </c>
      <c r="AI138" s="872"/>
      <c r="AJ138" s="872"/>
      <c r="AK138" s="551" t="s">
        <v>59</v>
      </c>
    </row>
    <row r="139" spans="1:37" ht="12.75" customHeight="1">
      <c r="A139" s="513"/>
      <c r="B139" s="513"/>
      <c r="C139" s="513"/>
      <c r="D139" s="513"/>
      <c r="E139" s="513"/>
      <c r="F139" s="513"/>
      <c r="G139" s="513"/>
      <c r="H139" s="513"/>
      <c r="I139" s="513"/>
      <c r="J139" s="513"/>
      <c r="K139" s="513"/>
      <c r="L139" s="513"/>
      <c r="M139" s="513"/>
      <c r="N139" s="513"/>
      <c r="O139" s="513"/>
      <c r="P139" s="513"/>
      <c r="Q139" s="513"/>
      <c r="R139" s="513"/>
      <c r="S139" s="513"/>
      <c r="T139" s="513"/>
      <c r="U139" s="513"/>
      <c r="V139" s="513"/>
      <c r="W139" s="513"/>
      <c r="X139" s="513"/>
      <c r="Y139" s="513"/>
      <c r="Z139" s="513"/>
      <c r="AA139" s="513"/>
      <c r="AB139" s="823"/>
      <c r="AC139" s="823"/>
      <c r="AD139" s="823"/>
      <c r="AE139" s="822"/>
      <c r="AF139" s="822"/>
      <c r="AG139" s="822"/>
      <c r="AH139" s="822"/>
      <c r="AI139" s="822"/>
      <c r="AJ139" s="822"/>
      <c r="AK139" s="513"/>
    </row>
    <row r="140" spans="1:37" ht="12.75" customHeight="1">
      <c r="A140" s="552" t="s">
        <v>14</v>
      </c>
      <c r="B140" s="544">
        <f>AD106</f>
        <v>27</v>
      </c>
      <c r="C140" s="544">
        <f>B140+1</f>
        <v>28</v>
      </c>
      <c r="D140" s="544">
        <f t="shared" ref="D140" si="42">C140+1</f>
        <v>29</v>
      </c>
      <c r="E140" s="544">
        <f t="shared" ref="E140" si="43">D140+1</f>
        <v>30</v>
      </c>
      <c r="F140" s="544">
        <f t="shared" ref="F140" si="44">E140+1</f>
        <v>31</v>
      </c>
      <c r="G140" s="545">
        <v>1</v>
      </c>
      <c r="H140" s="543">
        <v>2</v>
      </c>
      <c r="I140" s="541">
        <f t="shared" si="13"/>
        <v>3</v>
      </c>
      <c r="J140" s="541">
        <f t="shared" si="14"/>
        <v>4</v>
      </c>
      <c r="K140" s="541">
        <f t="shared" si="15"/>
        <v>5</v>
      </c>
      <c r="L140" s="541">
        <f t="shared" si="16"/>
        <v>6</v>
      </c>
      <c r="M140" s="541">
        <f t="shared" si="17"/>
        <v>7</v>
      </c>
      <c r="N140" s="541">
        <f t="shared" si="18"/>
        <v>8</v>
      </c>
      <c r="O140" s="543">
        <f t="shared" si="19"/>
        <v>9</v>
      </c>
      <c r="P140" s="541">
        <f t="shared" si="20"/>
        <v>10</v>
      </c>
      <c r="Q140" s="541">
        <f t="shared" si="21"/>
        <v>11</v>
      </c>
      <c r="R140" s="541">
        <f t="shared" si="22"/>
        <v>12</v>
      </c>
      <c r="S140" s="541">
        <f t="shared" si="23"/>
        <v>13</v>
      </c>
      <c r="T140" s="541">
        <f t="shared" si="24"/>
        <v>14</v>
      </c>
      <c r="U140" s="541">
        <f t="shared" si="25"/>
        <v>15</v>
      </c>
      <c r="V140" s="543">
        <f t="shared" si="26"/>
        <v>16</v>
      </c>
      <c r="W140" s="541">
        <f t="shared" si="27"/>
        <v>17</v>
      </c>
      <c r="X140" s="541">
        <f t="shared" si="28"/>
        <v>18</v>
      </c>
      <c r="Y140" s="541">
        <f t="shared" si="29"/>
        <v>19</v>
      </c>
      <c r="Z140" s="541">
        <f t="shared" si="30"/>
        <v>20</v>
      </c>
      <c r="AA140" s="541">
        <f t="shared" si="31"/>
        <v>21</v>
      </c>
      <c r="AB140" s="541">
        <f t="shared" si="32"/>
        <v>22</v>
      </c>
      <c r="AC140" s="543">
        <f t="shared" si="33"/>
        <v>23</v>
      </c>
      <c r="AD140" s="541">
        <f t="shared" si="34"/>
        <v>24</v>
      </c>
      <c r="AE140" s="541">
        <f t="shared" si="35"/>
        <v>25</v>
      </c>
      <c r="AF140" s="541">
        <f t="shared" si="36"/>
        <v>26</v>
      </c>
      <c r="AG140" s="541">
        <f t="shared" si="37"/>
        <v>27</v>
      </c>
      <c r="AH140" s="541">
        <f t="shared" si="38"/>
        <v>28</v>
      </c>
      <c r="AI140" s="541">
        <f t="shared" ref="AI140" si="45">AH140+1</f>
        <v>29</v>
      </c>
      <c r="AJ140" s="543">
        <v>30</v>
      </c>
      <c r="AK140" s="552" t="s">
        <v>14</v>
      </c>
    </row>
    <row r="141" spans="1:37" ht="12.75" customHeight="1">
      <c r="A141" s="853"/>
      <c r="B141" s="854"/>
      <c r="C141" s="854"/>
      <c r="D141" s="854"/>
      <c r="E141" s="854"/>
      <c r="F141" s="854"/>
      <c r="G141" s="854"/>
      <c r="H141" s="854"/>
      <c r="I141" s="854"/>
      <c r="J141" s="854"/>
      <c r="K141" s="854"/>
      <c r="L141" s="854"/>
      <c r="M141" s="854"/>
      <c r="N141" s="854"/>
      <c r="O141" s="854"/>
      <c r="P141" s="854"/>
      <c r="Q141" s="854"/>
      <c r="R141" s="854"/>
      <c r="S141" s="854"/>
      <c r="T141" s="854"/>
      <c r="U141" s="854"/>
      <c r="V141" s="854"/>
      <c r="W141" s="854"/>
      <c r="X141" s="854"/>
      <c r="Y141" s="854"/>
      <c r="Z141" s="854"/>
      <c r="AA141" s="854"/>
      <c r="AB141" s="854"/>
      <c r="AC141" s="854"/>
      <c r="AD141" s="854"/>
      <c r="AE141" s="854"/>
      <c r="AF141" s="854"/>
      <c r="AG141" s="854"/>
      <c r="AH141" s="854"/>
      <c r="AI141" s="854"/>
      <c r="AJ141" s="855"/>
    </row>
    <row r="142" spans="1:37" ht="12.75" customHeight="1">
      <c r="A142" s="843">
        <v>44046</v>
      </c>
      <c r="B142" s="843"/>
      <c r="C142" s="844" t="s">
        <v>26</v>
      </c>
      <c r="D142" s="844"/>
      <c r="E142" s="844"/>
      <c r="F142" s="844"/>
      <c r="G142" s="844"/>
      <c r="H142" s="844"/>
      <c r="I142" s="813"/>
      <c r="J142" s="848"/>
      <c r="K142" s="849"/>
      <c r="L142" s="850"/>
      <c r="M142" s="848"/>
      <c r="N142" s="849"/>
      <c r="O142" s="850"/>
      <c r="P142" s="848"/>
      <c r="Q142" s="849"/>
      <c r="R142" s="850"/>
      <c r="S142" s="848"/>
      <c r="T142" s="849"/>
      <c r="U142" s="850"/>
      <c r="V142" s="848"/>
      <c r="W142" s="849"/>
      <c r="X142" s="850"/>
      <c r="Y142" s="843">
        <v>43983</v>
      </c>
      <c r="Z142" s="843"/>
      <c r="AA142" s="843"/>
      <c r="AB142" s="851"/>
      <c r="AC142" s="851"/>
      <c r="AD142" s="851"/>
      <c r="AE142" s="842">
        <v>20000</v>
      </c>
      <c r="AF142" s="842"/>
      <c r="AG142" s="842"/>
      <c r="AH142" s="842">
        <f>AH133+AB142-AE142</f>
        <v>18433.420000000006</v>
      </c>
      <c r="AI142" s="842"/>
      <c r="AJ142" s="842"/>
    </row>
    <row r="143" spans="1:37" ht="12.75" customHeight="1">
      <c r="A143" s="843">
        <v>44049</v>
      </c>
      <c r="B143" s="843"/>
      <c r="C143" s="844" t="s">
        <v>68</v>
      </c>
      <c r="D143" s="844"/>
      <c r="E143" s="844"/>
      <c r="F143" s="844"/>
      <c r="G143" s="844"/>
      <c r="H143" s="844"/>
      <c r="I143" s="813"/>
      <c r="J143" s="848"/>
      <c r="K143" s="849"/>
      <c r="L143" s="850"/>
      <c r="M143" s="848"/>
      <c r="N143" s="849"/>
      <c r="O143" s="850"/>
      <c r="P143" s="848"/>
      <c r="Q143" s="849"/>
      <c r="R143" s="850"/>
      <c r="S143" s="848"/>
      <c r="T143" s="849"/>
      <c r="U143" s="850"/>
      <c r="V143" s="848"/>
      <c r="W143" s="849"/>
      <c r="X143" s="850"/>
      <c r="Y143" s="843">
        <v>43983</v>
      </c>
      <c r="Z143" s="843"/>
      <c r="AA143" s="843"/>
      <c r="AB143" s="851"/>
      <c r="AC143" s="851"/>
      <c r="AD143" s="851"/>
      <c r="AE143" s="842">
        <v>20000</v>
      </c>
      <c r="AF143" s="842"/>
      <c r="AG143" s="842"/>
      <c r="AH143" s="842">
        <f>AH134+AB143-AE143</f>
        <v>17275.33666666667</v>
      </c>
      <c r="AI143" s="842"/>
      <c r="AJ143" s="842"/>
    </row>
    <row r="144" spans="1:37" ht="12.75" customHeight="1">
      <c r="A144" s="857">
        <v>44049</v>
      </c>
      <c r="B144" s="857"/>
      <c r="C144" s="858" t="s">
        <v>52</v>
      </c>
      <c r="D144" s="858"/>
      <c r="E144" s="858"/>
      <c r="F144" s="858"/>
      <c r="G144" s="858"/>
      <c r="H144" s="858"/>
      <c r="I144" s="816"/>
      <c r="J144" s="884">
        <v>44061</v>
      </c>
      <c r="K144" s="857"/>
      <c r="L144" s="857"/>
      <c r="M144" s="860"/>
      <c r="N144" s="860"/>
      <c r="O144" s="860"/>
      <c r="P144" s="860"/>
      <c r="Q144" s="860"/>
      <c r="R144" s="860"/>
      <c r="S144" s="860"/>
      <c r="T144" s="860"/>
      <c r="U144" s="860"/>
      <c r="V144" s="861"/>
      <c r="W144" s="861"/>
      <c r="X144" s="861"/>
      <c r="Y144" s="843"/>
      <c r="Z144" s="843"/>
      <c r="AA144" s="843"/>
      <c r="AB144" s="862"/>
      <c r="AC144" s="862"/>
      <c r="AD144" s="862"/>
      <c r="AE144" s="861"/>
      <c r="AF144" s="861"/>
      <c r="AG144" s="861"/>
      <c r="AH144" s="842">
        <f t="shared" ref="AH144" si="46">AH143+AB144-AE144</f>
        <v>17275.33666666667</v>
      </c>
      <c r="AI144" s="842"/>
      <c r="AJ144" s="842"/>
    </row>
    <row r="145" spans="1:37" ht="12.75" customHeight="1">
      <c r="A145" s="857">
        <v>44050</v>
      </c>
      <c r="B145" s="857"/>
      <c r="C145" s="858" t="s">
        <v>61</v>
      </c>
      <c r="D145" s="858"/>
      <c r="E145" s="858"/>
      <c r="F145" s="858"/>
      <c r="G145" s="858"/>
      <c r="H145" s="858"/>
      <c r="I145" s="815"/>
      <c r="J145" s="859" t="s">
        <v>69</v>
      </c>
      <c r="K145" s="860"/>
      <c r="L145" s="860"/>
      <c r="M145" s="860"/>
      <c r="N145" s="860"/>
      <c r="O145" s="860"/>
      <c r="P145" s="860"/>
      <c r="Q145" s="860"/>
      <c r="R145" s="860"/>
      <c r="S145" s="860"/>
      <c r="T145" s="860"/>
      <c r="U145" s="860"/>
      <c r="V145" s="861"/>
      <c r="W145" s="861"/>
      <c r="X145" s="861"/>
      <c r="Y145" s="843"/>
      <c r="Z145" s="843"/>
      <c r="AA145" s="843"/>
      <c r="AB145" s="862">
        <v>2400</v>
      </c>
      <c r="AC145" s="862"/>
      <c r="AD145" s="862"/>
      <c r="AE145" s="861"/>
      <c r="AF145" s="861"/>
      <c r="AG145" s="861"/>
      <c r="AH145" s="842">
        <f>AH142+AB145-AE145</f>
        <v>20833.420000000006</v>
      </c>
      <c r="AI145" s="842"/>
      <c r="AJ145" s="842"/>
    </row>
    <row r="146" spans="1:37" ht="12.75" customHeight="1">
      <c r="A146" s="843">
        <v>44053</v>
      </c>
      <c r="B146" s="843"/>
      <c r="C146" s="844" t="s">
        <v>45</v>
      </c>
      <c r="D146" s="844"/>
      <c r="E146" s="844"/>
      <c r="F146" s="844"/>
      <c r="G146" s="844"/>
      <c r="H146" s="844"/>
      <c r="I146" s="813"/>
      <c r="J146" s="845"/>
      <c r="K146" s="845"/>
      <c r="L146" s="845"/>
      <c r="M146" s="846"/>
      <c r="N146" s="846"/>
      <c r="O146" s="846"/>
      <c r="P146" s="846"/>
      <c r="Q146" s="846"/>
      <c r="R146" s="846"/>
      <c r="S146" s="846"/>
      <c r="T146" s="846"/>
      <c r="U146" s="846"/>
      <c r="V146" s="847"/>
      <c r="W146" s="847"/>
      <c r="X146" s="847"/>
      <c r="Y146" s="843"/>
      <c r="Z146" s="843"/>
      <c r="AA146" s="843"/>
      <c r="AB146" s="841"/>
      <c r="AC146" s="841"/>
      <c r="AD146" s="841"/>
      <c r="AE146" s="842">
        <v>2303.09</v>
      </c>
      <c r="AF146" s="842"/>
      <c r="AG146" s="842"/>
      <c r="AH146" s="842">
        <f t="shared" ref="AH146:AH147" si="47">AH145+AB146-AE146</f>
        <v>18530.330000000005</v>
      </c>
      <c r="AI146" s="842"/>
      <c r="AJ146" s="842"/>
    </row>
    <row r="147" spans="1:37" ht="12.75" customHeight="1">
      <c r="A147" s="843">
        <v>44053</v>
      </c>
      <c r="B147" s="843"/>
      <c r="C147" s="844" t="s">
        <v>46</v>
      </c>
      <c r="D147" s="844"/>
      <c r="E147" s="844"/>
      <c r="F147" s="844"/>
      <c r="G147" s="844"/>
      <c r="H147" s="844"/>
      <c r="I147" s="813"/>
      <c r="J147" s="845"/>
      <c r="K147" s="845"/>
      <c r="L147" s="845"/>
      <c r="M147" s="846"/>
      <c r="N147" s="846"/>
      <c r="O147" s="846"/>
      <c r="P147" s="846"/>
      <c r="Q147" s="846"/>
      <c r="R147" s="846"/>
      <c r="S147" s="846"/>
      <c r="T147" s="846"/>
      <c r="U147" s="846"/>
      <c r="V147" s="847"/>
      <c r="W147" s="847"/>
      <c r="X147" s="847"/>
      <c r="Y147" s="843"/>
      <c r="Z147" s="843"/>
      <c r="AA147" s="843"/>
      <c r="AB147" s="841"/>
      <c r="AC147" s="841"/>
      <c r="AD147" s="841"/>
      <c r="AE147" s="842">
        <v>2303.09</v>
      </c>
      <c r="AF147" s="842"/>
      <c r="AG147" s="842"/>
      <c r="AH147" s="842">
        <f t="shared" si="47"/>
        <v>16227.240000000005</v>
      </c>
      <c r="AI147" s="842"/>
      <c r="AJ147" s="842"/>
    </row>
    <row r="148" spans="1:37" ht="12.75" customHeight="1">
      <c r="A148" s="843">
        <v>44053</v>
      </c>
      <c r="B148" s="843"/>
      <c r="C148" s="844" t="s">
        <v>38</v>
      </c>
      <c r="D148" s="844"/>
      <c r="E148" s="844"/>
      <c r="F148" s="844"/>
      <c r="G148" s="844"/>
      <c r="H148" s="844"/>
      <c r="I148" s="549"/>
      <c r="J148" s="852" t="s">
        <v>70</v>
      </c>
      <c r="K148" s="846"/>
      <c r="L148" s="846"/>
      <c r="M148" s="846"/>
      <c r="N148" s="846"/>
      <c r="O148" s="846"/>
      <c r="P148" s="846"/>
      <c r="Q148" s="846"/>
      <c r="R148" s="846"/>
      <c r="S148" s="846"/>
      <c r="T148" s="846"/>
      <c r="U148" s="846"/>
      <c r="V148" s="847"/>
      <c r="W148" s="847"/>
      <c r="X148" s="847"/>
      <c r="Y148" s="843"/>
      <c r="Z148" s="843"/>
      <c r="AA148" s="843"/>
      <c r="AB148" s="842"/>
      <c r="AC148" s="842"/>
      <c r="AD148" s="842"/>
      <c r="AE148" s="842">
        <v>7000</v>
      </c>
      <c r="AF148" s="842"/>
      <c r="AG148" s="842"/>
      <c r="AH148" s="842">
        <f>AH147+AB148-AE148</f>
        <v>9227.2400000000052</v>
      </c>
      <c r="AI148" s="842"/>
      <c r="AJ148" s="842"/>
    </row>
    <row r="149" spans="1:37" ht="12.75" customHeight="1">
      <c r="A149" s="843">
        <v>44053</v>
      </c>
      <c r="B149" s="843"/>
      <c r="C149" s="844" t="s">
        <v>40</v>
      </c>
      <c r="D149" s="844"/>
      <c r="E149" s="844"/>
      <c r="F149" s="844"/>
      <c r="G149" s="844"/>
      <c r="H149" s="844"/>
      <c r="I149" s="813">
        <v>71</v>
      </c>
      <c r="J149" s="845" t="s">
        <v>71</v>
      </c>
      <c r="K149" s="845"/>
      <c r="L149" s="845"/>
      <c r="M149" s="846"/>
      <c r="N149" s="846"/>
      <c r="O149" s="846"/>
      <c r="P149" s="846"/>
      <c r="Q149" s="846"/>
      <c r="R149" s="846"/>
      <c r="S149" s="846"/>
      <c r="T149" s="846"/>
      <c r="U149" s="846"/>
      <c r="V149" s="847"/>
      <c r="W149" s="847"/>
      <c r="X149" s="847"/>
      <c r="Y149" s="843"/>
      <c r="Z149" s="843"/>
      <c r="AA149" s="843"/>
      <c r="AB149" s="842">
        <v>1200</v>
      </c>
      <c r="AC149" s="842"/>
      <c r="AD149" s="842"/>
      <c r="AE149" s="842"/>
      <c r="AF149" s="842"/>
      <c r="AG149" s="842"/>
      <c r="AH149" s="842">
        <f>AH148+AB149-AE149</f>
        <v>10427.240000000005</v>
      </c>
      <c r="AI149" s="842"/>
      <c r="AJ149" s="842"/>
    </row>
    <row r="150" spans="1:37" ht="12.75" customHeight="1">
      <c r="A150" s="843">
        <v>44053</v>
      </c>
      <c r="B150" s="843"/>
      <c r="C150" s="844" t="s">
        <v>40</v>
      </c>
      <c r="D150" s="844"/>
      <c r="E150" s="844"/>
      <c r="F150" s="844"/>
      <c r="G150" s="844"/>
      <c r="H150" s="844"/>
      <c r="I150" s="813">
        <v>72</v>
      </c>
      <c r="J150" s="845" t="s">
        <v>69</v>
      </c>
      <c r="K150" s="845"/>
      <c r="L150" s="845"/>
      <c r="M150" s="846"/>
      <c r="N150" s="846"/>
      <c r="O150" s="846"/>
      <c r="P150" s="846"/>
      <c r="Q150" s="846"/>
      <c r="R150" s="846"/>
      <c r="S150" s="846"/>
      <c r="T150" s="846"/>
      <c r="U150" s="846"/>
      <c r="V150" s="847"/>
      <c r="W150" s="847"/>
      <c r="X150" s="847"/>
      <c r="Y150" s="843"/>
      <c r="Z150" s="843"/>
      <c r="AA150" s="843"/>
      <c r="AB150" s="842">
        <v>1800</v>
      </c>
      <c r="AC150" s="842"/>
      <c r="AD150" s="842"/>
      <c r="AE150" s="842"/>
      <c r="AF150" s="842"/>
      <c r="AG150" s="842"/>
      <c r="AH150" s="842">
        <f>AH149+AB150-AE150</f>
        <v>12227.240000000005</v>
      </c>
      <c r="AI150" s="842"/>
      <c r="AJ150" s="842"/>
    </row>
    <row r="151" spans="1:37" ht="12.75" customHeight="1">
      <c r="A151" s="843">
        <v>44053</v>
      </c>
      <c r="B151" s="843"/>
      <c r="C151" s="844" t="s">
        <v>43</v>
      </c>
      <c r="D151" s="844"/>
      <c r="E151" s="844"/>
      <c r="F151" s="844"/>
      <c r="G151" s="844"/>
      <c r="H151" s="844"/>
      <c r="I151" s="813">
        <v>74</v>
      </c>
      <c r="J151" s="845" t="s">
        <v>62</v>
      </c>
      <c r="K151" s="845"/>
      <c r="L151" s="845"/>
      <c r="M151" s="846"/>
      <c r="N151" s="846"/>
      <c r="O151" s="846"/>
      <c r="P151" s="846"/>
      <c r="Q151" s="846"/>
      <c r="R151" s="846"/>
      <c r="S151" s="846"/>
      <c r="T151" s="846"/>
      <c r="U151" s="846"/>
      <c r="V151" s="847"/>
      <c r="W151" s="847"/>
      <c r="X151" s="847"/>
      <c r="Y151" s="843"/>
      <c r="Z151" s="843"/>
      <c r="AA151" s="843"/>
      <c r="AB151" s="842">
        <v>1200</v>
      </c>
      <c r="AC151" s="842"/>
      <c r="AD151" s="842"/>
      <c r="AE151" s="842"/>
      <c r="AF151" s="842"/>
      <c r="AG151" s="842"/>
      <c r="AH151" s="842">
        <f>AH150+AB151-AE151</f>
        <v>13427.240000000005</v>
      </c>
      <c r="AI151" s="842"/>
      <c r="AJ151" s="842"/>
    </row>
    <row r="152" spans="1:37" ht="12.75" customHeight="1">
      <c r="A152" s="843">
        <v>44053</v>
      </c>
      <c r="B152" s="843"/>
      <c r="C152" s="844" t="s">
        <v>45</v>
      </c>
      <c r="D152" s="844"/>
      <c r="E152" s="844"/>
      <c r="F152" s="844"/>
      <c r="G152" s="844"/>
      <c r="H152" s="844"/>
      <c r="I152" s="813"/>
      <c r="J152" s="845"/>
      <c r="K152" s="845"/>
      <c r="L152" s="845"/>
      <c r="M152" s="846"/>
      <c r="N152" s="846"/>
      <c r="O152" s="846"/>
      <c r="P152" s="846"/>
      <c r="Q152" s="846"/>
      <c r="R152" s="846"/>
      <c r="S152" s="846"/>
      <c r="T152" s="846"/>
      <c r="U152" s="846"/>
      <c r="V152" s="847"/>
      <c r="W152" s="847"/>
      <c r="X152" s="847"/>
      <c r="Y152" s="843"/>
      <c r="Z152" s="843"/>
      <c r="AA152" s="843"/>
      <c r="AB152" s="841"/>
      <c r="AC152" s="841"/>
      <c r="AD152" s="841"/>
      <c r="AE152" s="842">
        <v>2303.09</v>
      </c>
      <c r="AF152" s="842"/>
      <c r="AG152" s="842"/>
      <c r="AH152" s="842">
        <f>AH151+AB152-AE152</f>
        <v>11124.150000000005</v>
      </c>
      <c r="AI152" s="842"/>
      <c r="AJ152" s="842"/>
    </row>
    <row r="153" spans="1:37" ht="12.75" customHeight="1">
      <c r="A153" s="843">
        <v>44053</v>
      </c>
      <c r="B153" s="843"/>
      <c r="C153" s="844" t="s">
        <v>46</v>
      </c>
      <c r="D153" s="844"/>
      <c r="E153" s="844"/>
      <c r="F153" s="844"/>
      <c r="G153" s="844"/>
      <c r="H153" s="844"/>
      <c r="I153" s="813"/>
      <c r="J153" s="845"/>
      <c r="K153" s="845"/>
      <c r="L153" s="845"/>
      <c r="M153" s="846"/>
      <c r="N153" s="846"/>
      <c r="O153" s="846"/>
      <c r="P153" s="846"/>
      <c r="Q153" s="846"/>
      <c r="R153" s="846"/>
      <c r="S153" s="846"/>
      <c r="T153" s="846"/>
      <c r="U153" s="846"/>
      <c r="V153" s="847"/>
      <c r="W153" s="847"/>
      <c r="X153" s="847"/>
      <c r="Y153" s="843"/>
      <c r="Z153" s="843"/>
      <c r="AA153" s="843"/>
      <c r="AB153" s="841"/>
      <c r="AC153" s="841"/>
      <c r="AD153" s="841"/>
      <c r="AE153" s="842">
        <v>2303.09</v>
      </c>
      <c r="AF153" s="842"/>
      <c r="AG153" s="842"/>
      <c r="AH153" s="842">
        <f>AH152+AB153-AE153</f>
        <v>8821.0600000000049</v>
      </c>
      <c r="AI153" s="842"/>
      <c r="AJ153" s="842"/>
    </row>
    <row r="154" spans="1:37" ht="12.75" customHeight="1">
      <c r="A154" s="843">
        <v>44058</v>
      </c>
      <c r="B154" s="843"/>
      <c r="C154" s="844" t="s">
        <v>47</v>
      </c>
      <c r="D154" s="844"/>
      <c r="E154" s="844"/>
      <c r="F154" s="844"/>
      <c r="G154" s="844"/>
      <c r="H154" s="844"/>
      <c r="I154" s="813"/>
      <c r="J154" s="845"/>
      <c r="K154" s="845"/>
      <c r="L154" s="845"/>
      <c r="M154" s="846"/>
      <c r="N154" s="846"/>
      <c r="O154" s="846"/>
      <c r="P154" s="846"/>
      <c r="Q154" s="846"/>
      <c r="R154" s="846"/>
      <c r="S154" s="846"/>
      <c r="T154" s="846"/>
      <c r="U154" s="846"/>
      <c r="V154" s="847"/>
      <c r="W154" s="847"/>
      <c r="X154" s="847"/>
      <c r="Y154" s="843"/>
      <c r="Z154" s="843"/>
      <c r="AA154" s="843"/>
      <c r="AB154" s="841"/>
      <c r="AC154" s="841"/>
      <c r="AD154" s="841"/>
      <c r="AE154" s="842">
        <v>499</v>
      </c>
      <c r="AF154" s="842"/>
      <c r="AG154" s="842"/>
      <c r="AH154" s="842">
        <f>AH153+AB154-AE154</f>
        <v>8322.0600000000049</v>
      </c>
      <c r="AI154" s="842"/>
      <c r="AJ154" s="842"/>
    </row>
    <row r="155" spans="1:37" ht="12.75" customHeight="1">
      <c r="A155" s="818"/>
      <c r="B155" s="818"/>
      <c r="C155" s="550"/>
      <c r="D155" s="550"/>
      <c r="E155" s="550"/>
      <c r="F155" s="550"/>
      <c r="G155" s="550"/>
      <c r="H155" s="550"/>
      <c r="I155" s="819"/>
      <c r="J155" s="819"/>
      <c r="K155" s="819"/>
      <c r="L155" s="819"/>
      <c r="M155" s="819"/>
      <c r="N155" s="819"/>
      <c r="O155" s="819"/>
      <c r="P155" s="819"/>
      <c r="Q155" s="819"/>
      <c r="R155" s="819"/>
      <c r="S155" s="819"/>
      <c r="T155" s="819"/>
      <c r="U155" s="819"/>
      <c r="V155" s="819"/>
      <c r="W155" s="819"/>
      <c r="X155" s="819"/>
      <c r="Y155" s="818"/>
      <c r="Z155" s="818"/>
      <c r="AA155" s="818"/>
      <c r="AB155" s="566"/>
      <c r="AC155" s="566"/>
      <c r="AD155" s="566"/>
      <c r="AE155" s="567"/>
      <c r="AF155" s="567"/>
      <c r="AG155" s="567"/>
      <c r="AH155" s="567"/>
      <c r="AI155" s="567"/>
      <c r="AJ155" s="567"/>
      <c r="AK155" s="818"/>
    </row>
    <row r="156" spans="1:37" ht="12.75" customHeight="1">
      <c r="A156" s="538" t="s">
        <v>15</v>
      </c>
      <c r="B156" s="531">
        <v>31</v>
      </c>
      <c r="C156" s="529">
        <v>1</v>
      </c>
      <c r="D156" s="529">
        <v>2</v>
      </c>
      <c r="E156" s="529">
        <v>3</v>
      </c>
      <c r="F156" s="529">
        <v>4</v>
      </c>
      <c r="G156" s="529">
        <v>5</v>
      </c>
      <c r="H156" s="526">
        <v>6</v>
      </c>
      <c r="I156" s="527">
        <f t="shared" si="13"/>
        <v>7</v>
      </c>
      <c r="J156" s="527">
        <f t="shared" si="14"/>
        <v>8</v>
      </c>
      <c r="K156" s="527">
        <f t="shared" si="15"/>
        <v>9</v>
      </c>
      <c r="L156" s="527">
        <f t="shared" si="16"/>
        <v>10</v>
      </c>
      <c r="M156" s="527">
        <f t="shared" si="17"/>
        <v>11</v>
      </c>
      <c r="N156" s="527">
        <f t="shared" si="18"/>
        <v>12</v>
      </c>
      <c r="O156" s="526">
        <f t="shared" si="19"/>
        <v>13</v>
      </c>
      <c r="P156" s="527">
        <f t="shared" si="20"/>
        <v>14</v>
      </c>
      <c r="Q156" s="527">
        <f t="shared" si="21"/>
        <v>15</v>
      </c>
      <c r="R156" s="527">
        <f t="shared" si="22"/>
        <v>16</v>
      </c>
      <c r="S156" s="527">
        <f t="shared" si="23"/>
        <v>17</v>
      </c>
      <c r="T156" s="527">
        <f t="shared" si="24"/>
        <v>18</v>
      </c>
      <c r="U156" s="527">
        <f t="shared" si="25"/>
        <v>19</v>
      </c>
      <c r="V156" s="526">
        <f t="shared" si="26"/>
        <v>20</v>
      </c>
      <c r="W156" s="527">
        <f t="shared" si="27"/>
        <v>21</v>
      </c>
      <c r="X156" s="527">
        <f t="shared" si="28"/>
        <v>22</v>
      </c>
      <c r="Y156" s="527">
        <f t="shared" si="29"/>
        <v>23</v>
      </c>
      <c r="Z156" s="527">
        <f t="shared" si="30"/>
        <v>24</v>
      </c>
      <c r="AA156" s="527">
        <f t="shared" si="31"/>
        <v>25</v>
      </c>
      <c r="AB156" s="527">
        <f t="shared" si="32"/>
        <v>26</v>
      </c>
      <c r="AC156" s="526">
        <f t="shared" si="33"/>
        <v>27</v>
      </c>
      <c r="AD156" s="527">
        <f t="shared" si="34"/>
        <v>28</v>
      </c>
      <c r="AE156" s="527">
        <f t="shared" si="35"/>
        <v>29</v>
      </c>
      <c r="AF156" s="527">
        <f t="shared" si="36"/>
        <v>30</v>
      </c>
      <c r="AG156" s="531">
        <v>1</v>
      </c>
      <c r="AH156" s="531">
        <v>2</v>
      </c>
      <c r="AI156" s="531">
        <v>3</v>
      </c>
      <c r="AJ156" s="526">
        <v>4</v>
      </c>
      <c r="AK156" s="538" t="s">
        <v>15</v>
      </c>
    </row>
    <row r="157" spans="1:37" ht="12.75" customHeight="1">
      <c r="A157" s="856"/>
      <c r="B157" s="856"/>
      <c r="C157" s="856"/>
      <c r="D157" s="856"/>
      <c r="E157" s="856"/>
      <c r="F157" s="856"/>
      <c r="G157" s="856"/>
      <c r="H157" s="856"/>
      <c r="I157" s="856"/>
      <c r="J157" s="856"/>
      <c r="K157" s="856"/>
      <c r="L157" s="856"/>
      <c r="M157" s="856"/>
      <c r="N157" s="856"/>
      <c r="O157" s="856"/>
      <c r="P157" s="856"/>
      <c r="Q157" s="856"/>
      <c r="R157" s="856"/>
      <c r="S157" s="856"/>
      <c r="T157" s="856"/>
      <c r="U157" s="856"/>
      <c r="V157" s="856"/>
      <c r="W157" s="856"/>
      <c r="X157" s="856"/>
      <c r="Y157" s="856"/>
      <c r="Z157" s="856"/>
      <c r="AA157" s="856"/>
      <c r="AB157" s="856"/>
      <c r="AC157" s="856"/>
      <c r="AD157" s="856"/>
      <c r="AE157" s="856"/>
      <c r="AF157" s="856"/>
      <c r="AG157" s="856"/>
      <c r="AH157" s="856"/>
      <c r="AI157" s="856"/>
      <c r="AJ157" s="856"/>
    </row>
    <row r="158" spans="1:37" ht="12.75" customHeight="1">
      <c r="A158" s="843">
        <v>44080</v>
      </c>
      <c r="B158" s="843"/>
      <c r="C158" s="844" t="s">
        <v>26</v>
      </c>
      <c r="D158" s="844"/>
      <c r="E158" s="844"/>
      <c r="F158" s="844"/>
      <c r="G158" s="844"/>
      <c r="H158" s="844"/>
      <c r="I158" s="813"/>
      <c r="J158" s="848"/>
      <c r="K158" s="849"/>
      <c r="L158" s="850"/>
      <c r="M158" s="848"/>
      <c r="N158" s="849"/>
      <c r="O158" s="850"/>
      <c r="P158" s="848"/>
      <c r="Q158" s="849"/>
      <c r="R158" s="850"/>
      <c r="S158" s="848"/>
      <c r="T158" s="849"/>
      <c r="U158" s="850"/>
      <c r="V158" s="848"/>
      <c r="W158" s="849"/>
      <c r="X158" s="850"/>
      <c r="Y158" s="843">
        <v>43983</v>
      </c>
      <c r="Z158" s="843"/>
      <c r="AA158" s="843"/>
      <c r="AB158" s="851"/>
      <c r="AC158" s="851"/>
      <c r="AD158" s="851"/>
      <c r="AE158" s="842">
        <v>20000</v>
      </c>
      <c r="AF158" s="842"/>
      <c r="AG158" s="842"/>
      <c r="AH158" s="842">
        <f>AH135+AB158-AE158</f>
        <v>16696.296666666669</v>
      </c>
      <c r="AI158" s="842"/>
      <c r="AJ158" s="842"/>
    </row>
    <row r="159" spans="1:37" ht="12.75" customHeight="1">
      <c r="A159" s="857">
        <v>44081</v>
      </c>
      <c r="B159" s="857"/>
      <c r="C159" s="858" t="s">
        <v>61</v>
      </c>
      <c r="D159" s="858"/>
      <c r="E159" s="858"/>
      <c r="F159" s="858"/>
      <c r="G159" s="858"/>
      <c r="H159" s="858"/>
      <c r="I159" s="815"/>
      <c r="J159" s="859" t="s">
        <v>72</v>
      </c>
      <c r="K159" s="860"/>
      <c r="L159" s="860"/>
      <c r="M159" s="860"/>
      <c r="N159" s="860"/>
      <c r="O159" s="860"/>
      <c r="P159" s="860"/>
      <c r="Q159" s="860"/>
      <c r="R159" s="860"/>
      <c r="S159" s="860"/>
      <c r="T159" s="860"/>
      <c r="U159" s="860"/>
      <c r="V159" s="861"/>
      <c r="W159" s="861"/>
      <c r="X159" s="861"/>
      <c r="Y159" s="843"/>
      <c r="Z159" s="843"/>
      <c r="AA159" s="843"/>
      <c r="AB159" s="862">
        <v>2400</v>
      </c>
      <c r="AC159" s="862"/>
      <c r="AD159" s="862"/>
      <c r="AE159" s="861"/>
      <c r="AF159" s="861"/>
      <c r="AG159" s="861"/>
      <c r="AH159" s="842">
        <f>AH156+AB159-AE159</f>
        <v>2402</v>
      </c>
      <c r="AI159" s="842"/>
      <c r="AJ159" s="842"/>
    </row>
    <row r="160" spans="1:37" ht="12.75" customHeight="1">
      <c r="A160" s="843">
        <v>44084</v>
      </c>
      <c r="B160" s="843"/>
      <c r="C160" s="844" t="s">
        <v>45</v>
      </c>
      <c r="D160" s="844"/>
      <c r="E160" s="844"/>
      <c r="F160" s="844"/>
      <c r="G160" s="844"/>
      <c r="H160" s="844"/>
      <c r="I160" s="813"/>
      <c r="J160" s="845"/>
      <c r="K160" s="845"/>
      <c r="L160" s="845"/>
      <c r="M160" s="846"/>
      <c r="N160" s="846"/>
      <c r="O160" s="846"/>
      <c r="P160" s="846"/>
      <c r="Q160" s="846"/>
      <c r="R160" s="846"/>
      <c r="S160" s="846"/>
      <c r="T160" s="846"/>
      <c r="U160" s="846"/>
      <c r="V160" s="847"/>
      <c r="W160" s="847"/>
      <c r="X160" s="847"/>
      <c r="Y160" s="843"/>
      <c r="Z160" s="843"/>
      <c r="AA160" s="843"/>
      <c r="AB160" s="841"/>
      <c r="AC160" s="841"/>
      <c r="AD160" s="841"/>
      <c r="AE160" s="842">
        <v>2303.09</v>
      </c>
      <c r="AF160" s="842"/>
      <c r="AG160" s="842"/>
      <c r="AH160" s="842">
        <f t="shared" ref="AH160:AH161" si="48">AH159+AB160-AE160</f>
        <v>98.909999999999854</v>
      </c>
      <c r="AI160" s="842"/>
      <c r="AJ160" s="842"/>
    </row>
    <row r="161" spans="1:37" ht="12.75" customHeight="1">
      <c r="A161" s="843">
        <v>44084</v>
      </c>
      <c r="B161" s="843"/>
      <c r="C161" s="844" t="s">
        <v>46</v>
      </c>
      <c r="D161" s="844"/>
      <c r="E161" s="844"/>
      <c r="F161" s="844"/>
      <c r="G161" s="844"/>
      <c r="H161" s="844"/>
      <c r="I161" s="813"/>
      <c r="J161" s="845"/>
      <c r="K161" s="845"/>
      <c r="L161" s="845"/>
      <c r="M161" s="846"/>
      <c r="N161" s="846"/>
      <c r="O161" s="846"/>
      <c r="P161" s="846"/>
      <c r="Q161" s="846"/>
      <c r="R161" s="846"/>
      <c r="S161" s="846"/>
      <c r="T161" s="846"/>
      <c r="U161" s="846"/>
      <c r="V161" s="847"/>
      <c r="W161" s="847"/>
      <c r="X161" s="847"/>
      <c r="Y161" s="843"/>
      <c r="Z161" s="843"/>
      <c r="AA161" s="843"/>
      <c r="AB161" s="841"/>
      <c r="AC161" s="841"/>
      <c r="AD161" s="841"/>
      <c r="AE161" s="842">
        <v>2303.09</v>
      </c>
      <c r="AF161" s="842"/>
      <c r="AG161" s="842"/>
      <c r="AH161" s="842">
        <f t="shared" si="48"/>
        <v>-2204.1800000000003</v>
      </c>
      <c r="AI161" s="842"/>
      <c r="AJ161" s="842"/>
    </row>
    <row r="162" spans="1:37" ht="12.75" customHeight="1">
      <c r="A162" s="857">
        <v>44081</v>
      </c>
      <c r="B162" s="857"/>
      <c r="C162" s="858" t="s">
        <v>61</v>
      </c>
      <c r="D162" s="858"/>
      <c r="E162" s="858"/>
      <c r="F162" s="858"/>
      <c r="G162" s="858"/>
      <c r="H162" s="858"/>
      <c r="I162" s="815"/>
      <c r="J162" s="859" t="s">
        <v>69</v>
      </c>
      <c r="K162" s="860"/>
      <c r="L162" s="860"/>
      <c r="M162" s="860"/>
      <c r="N162" s="860"/>
      <c r="O162" s="860"/>
      <c r="P162" s="860"/>
      <c r="Q162" s="860"/>
      <c r="R162" s="860"/>
      <c r="S162" s="860"/>
      <c r="T162" s="860"/>
      <c r="U162" s="860"/>
      <c r="V162" s="861"/>
      <c r="W162" s="861"/>
      <c r="X162" s="861"/>
      <c r="Y162" s="843"/>
      <c r="Z162" s="843"/>
      <c r="AA162" s="843"/>
      <c r="AB162" s="862">
        <v>2400</v>
      </c>
      <c r="AC162" s="862"/>
      <c r="AD162" s="862"/>
      <c r="AE162" s="861"/>
      <c r="AF162" s="861"/>
      <c r="AG162" s="861"/>
      <c r="AH162" s="842">
        <f>AH159+AB162-AE162</f>
        <v>4802</v>
      </c>
      <c r="AI162" s="842"/>
      <c r="AJ162" s="842"/>
    </row>
    <row r="163" spans="1:37" ht="12.75" customHeight="1">
      <c r="A163" s="843">
        <v>44084</v>
      </c>
      <c r="B163" s="843"/>
      <c r="C163" s="844" t="s">
        <v>45</v>
      </c>
      <c r="D163" s="844"/>
      <c r="E163" s="844"/>
      <c r="F163" s="844"/>
      <c r="G163" s="844"/>
      <c r="H163" s="844"/>
      <c r="I163" s="813"/>
      <c r="J163" s="845"/>
      <c r="K163" s="845"/>
      <c r="L163" s="845"/>
      <c r="M163" s="846"/>
      <c r="N163" s="846"/>
      <c r="O163" s="846"/>
      <c r="P163" s="846"/>
      <c r="Q163" s="846"/>
      <c r="R163" s="846"/>
      <c r="S163" s="846"/>
      <c r="T163" s="846"/>
      <c r="U163" s="846"/>
      <c r="V163" s="847"/>
      <c r="W163" s="847"/>
      <c r="X163" s="847"/>
      <c r="Y163" s="843"/>
      <c r="Z163" s="843"/>
      <c r="AA163" s="843"/>
      <c r="AB163" s="841"/>
      <c r="AC163" s="841"/>
      <c r="AD163" s="841"/>
      <c r="AE163" s="842">
        <v>2303.09</v>
      </c>
      <c r="AF163" s="842"/>
      <c r="AG163" s="842"/>
      <c r="AH163" s="842">
        <f t="shared" ref="AH163:AH164" si="49">AH162+AB163-AE163</f>
        <v>2498.91</v>
      </c>
      <c r="AI163" s="842"/>
      <c r="AJ163" s="842"/>
    </row>
    <row r="164" spans="1:37" ht="12.75" customHeight="1">
      <c r="A164" s="843">
        <v>44084</v>
      </c>
      <c r="B164" s="843"/>
      <c r="C164" s="844" t="s">
        <v>46</v>
      </c>
      <c r="D164" s="844"/>
      <c r="E164" s="844"/>
      <c r="F164" s="844"/>
      <c r="G164" s="844"/>
      <c r="H164" s="844"/>
      <c r="I164" s="813"/>
      <c r="J164" s="845"/>
      <c r="K164" s="845"/>
      <c r="L164" s="845"/>
      <c r="M164" s="846"/>
      <c r="N164" s="846"/>
      <c r="O164" s="846"/>
      <c r="P164" s="846"/>
      <c r="Q164" s="846"/>
      <c r="R164" s="846"/>
      <c r="S164" s="846"/>
      <c r="T164" s="846"/>
      <c r="U164" s="846"/>
      <c r="V164" s="847"/>
      <c r="W164" s="847"/>
      <c r="X164" s="847"/>
      <c r="Y164" s="843"/>
      <c r="Z164" s="843"/>
      <c r="AA164" s="843"/>
      <c r="AB164" s="841"/>
      <c r="AC164" s="841"/>
      <c r="AD164" s="841"/>
      <c r="AE164" s="842">
        <v>2303.09</v>
      </c>
      <c r="AF164" s="842"/>
      <c r="AG164" s="842"/>
      <c r="AH164" s="842">
        <f t="shared" si="49"/>
        <v>195.81999999999971</v>
      </c>
      <c r="AI164" s="842"/>
      <c r="AJ164" s="842"/>
    </row>
    <row r="165" spans="1:37" ht="12.75" customHeight="1">
      <c r="A165" s="843">
        <v>44084</v>
      </c>
      <c r="B165" s="843"/>
      <c r="C165" s="844" t="s">
        <v>38</v>
      </c>
      <c r="D165" s="844"/>
      <c r="E165" s="844"/>
      <c r="F165" s="844"/>
      <c r="G165" s="844"/>
      <c r="H165" s="844"/>
      <c r="I165" s="549"/>
      <c r="J165" s="852" t="s">
        <v>70</v>
      </c>
      <c r="K165" s="846"/>
      <c r="L165" s="846"/>
      <c r="M165" s="846"/>
      <c r="N165" s="846"/>
      <c r="O165" s="846"/>
      <c r="P165" s="846"/>
      <c r="Q165" s="846"/>
      <c r="R165" s="846"/>
      <c r="S165" s="846"/>
      <c r="T165" s="846"/>
      <c r="U165" s="846"/>
      <c r="V165" s="847"/>
      <c r="W165" s="847"/>
      <c r="X165" s="847"/>
      <c r="Y165" s="843"/>
      <c r="Z165" s="843"/>
      <c r="AA165" s="843"/>
      <c r="AB165" s="842"/>
      <c r="AC165" s="842"/>
      <c r="AD165" s="842"/>
      <c r="AE165" s="842">
        <v>7000</v>
      </c>
      <c r="AF165" s="842"/>
      <c r="AG165" s="842"/>
      <c r="AH165" s="842">
        <f>AH164+AB165-AE165</f>
        <v>-6804.18</v>
      </c>
      <c r="AI165" s="842"/>
      <c r="AJ165" s="842"/>
    </row>
    <row r="166" spans="1:37" ht="12.75" customHeight="1">
      <c r="A166" s="843">
        <v>44084</v>
      </c>
      <c r="B166" s="843"/>
      <c r="C166" s="844" t="s">
        <v>40</v>
      </c>
      <c r="D166" s="844"/>
      <c r="E166" s="844"/>
      <c r="F166" s="844"/>
      <c r="G166" s="844"/>
      <c r="H166" s="844"/>
      <c r="I166" s="813">
        <v>71</v>
      </c>
      <c r="J166" s="845" t="s">
        <v>41</v>
      </c>
      <c r="K166" s="845"/>
      <c r="L166" s="845"/>
      <c r="M166" s="846"/>
      <c r="N166" s="846"/>
      <c r="O166" s="846"/>
      <c r="P166" s="846"/>
      <c r="Q166" s="846"/>
      <c r="R166" s="846"/>
      <c r="S166" s="846"/>
      <c r="T166" s="846"/>
      <c r="U166" s="846"/>
      <c r="V166" s="847"/>
      <c r="W166" s="847"/>
      <c r="X166" s="847"/>
      <c r="Y166" s="843"/>
      <c r="Z166" s="843"/>
      <c r="AA166" s="843"/>
      <c r="AB166" s="842">
        <v>1200</v>
      </c>
      <c r="AC166" s="842"/>
      <c r="AD166" s="842"/>
      <c r="AE166" s="842"/>
      <c r="AF166" s="842"/>
      <c r="AG166" s="842"/>
      <c r="AH166" s="842">
        <f>AH165+AB166-AE166</f>
        <v>-5604.18</v>
      </c>
      <c r="AI166" s="842"/>
      <c r="AJ166" s="842"/>
    </row>
    <row r="167" spans="1:37" ht="12.75" customHeight="1">
      <c r="A167" s="843">
        <v>44084</v>
      </c>
      <c r="B167" s="843"/>
      <c r="C167" s="844" t="s">
        <v>40</v>
      </c>
      <c r="D167" s="844"/>
      <c r="E167" s="844"/>
      <c r="F167" s="844"/>
      <c r="G167" s="844"/>
      <c r="H167" s="844"/>
      <c r="I167" s="813">
        <v>72</v>
      </c>
      <c r="J167" s="845" t="s">
        <v>72</v>
      </c>
      <c r="K167" s="845"/>
      <c r="L167" s="845"/>
      <c r="M167" s="846"/>
      <c r="N167" s="846"/>
      <c r="O167" s="846"/>
      <c r="P167" s="846"/>
      <c r="Q167" s="846"/>
      <c r="R167" s="846"/>
      <c r="S167" s="846"/>
      <c r="T167" s="846"/>
      <c r="U167" s="846"/>
      <c r="V167" s="847"/>
      <c r="W167" s="847"/>
      <c r="X167" s="847"/>
      <c r="Y167" s="843"/>
      <c r="Z167" s="843"/>
      <c r="AA167" s="843"/>
      <c r="AB167" s="842">
        <v>1800</v>
      </c>
      <c r="AC167" s="842"/>
      <c r="AD167" s="842"/>
      <c r="AE167" s="842"/>
      <c r="AF167" s="842"/>
      <c r="AG167" s="842"/>
      <c r="AH167" s="842">
        <f>AH166+AB167-AE167</f>
        <v>-3804.1800000000003</v>
      </c>
      <c r="AI167" s="842"/>
      <c r="AJ167" s="842"/>
    </row>
    <row r="168" spans="1:37" ht="12.75" customHeight="1">
      <c r="A168" s="843">
        <v>44084</v>
      </c>
      <c r="B168" s="843"/>
      <c r="C168" s="844" t="s">
        <v>43</v>
      </c>
      <c r="D168" s="844"/>
      <c r="E168" s="844"/>
      <c r="F168" s="844"/>
      <c r="G168" s="844"/>
      <c r="H168" s="844"/>
      <c r="I168" s="813">
        <v>74</v>
      </c>
      <c r="J168" s="845" t="s">
        <v>69</v>
      </c>
      <c r="K168" s="845"/>
      <c r="L168" s="845"/>
      <c r="M168" s="846"/>
      <c r="N168" s="846"/>
      <c r="O168" s="846"/>
      <c r="P168" s="846"/>
      <c r="Q168" s="846"/>
      <c r="R168" s="846"/>
      <c r="S168" s="846"/>
      <c r="T168" s="846"/>
      <c r="U168" s="846"/>
      <c r="V168" s="847"/>
      <c r="W168" s="847"/>
      <c r="X168" s="847"/>
      <c r="Y168" s="843"/>
      <c r="Z168" s="843"/>
      <c r="AA168" s="843"/>
      <c r="AB168" s="842">
        <v>1200</v>
      </c>
      <c r="AC168" s="842"/>
      <c r="AD168" s="842"/>
      <c r="AE168" s="842"/>
      <c r="AF168" s="842"/>
      <c r="AG168" s="842"/>
      <c r="AH168" s="842">
        <f>AH167+AB168-AE168</f>
        <v>-2604.1800000000003</v>
      </c>
      <c r="AI168" s="842"/>
      <c r="AJ168" s="842"/>
    </row>
    <row r="169" spans="1:37" ht="12.75" customHeight="1">
      <c r="A169" s="843">
        <v>44084</v>
      </c>
      <c r="B169" s="843"/>
      <c r="C169" s="844" t="s">
        <v>45</v>
      </c>
      <c r="D169" s="844"/>
      <c r="E169" s="844"/>
      <c r="F169" s="844"/>
      <c r="G169" s="844"/>
      <c r="H169" s="844"/>
      <c r="I169" s="813"/>
      <c r="J169" s="845"/>
      <c r="K169" s="845"/>
      <c r="L169" s="845"/>
      <c r="M169" s="846"/>
      <c r="N169" s="846"/>
      <c r="O169" s="846"/>
      <c r="P169" s="846"/>
      <c r="Q169" s="846"/>
      <c r="R169" s="846"/>
      <c r="S169" s="846"/>
      <c r="T169" s="846"/>
      <c r="U169" s="846"/>
      <c r="V169" s="847"/>
      <c r="W169" s="847"/>
      <c r="X169" s="847"/>
      <c r="Y169" s="843"/>
      <c r="Z169" s="843"/>
      <c r="AA169" s="843"/>
      <c r="AB169" s="841"/>
      <c r="AC169" s="841"/>
      <c r="AD169" s="841"/>
      <c r="AE169" s="842">
        <v>2303.09</v>
      </c>
      <c r="AF169" s="842"/>
      <c r="AG169" s="842"/>
      <c r="AH169" s="842">
        <f>AH168+AB169-AE169</f>
        <v>-4907.2700000000004</v>
      </c>
      <c r="AI169" s="842"/>
      <c r="AJ169" s="842"/>
    </row>
    <row r="170" spans="1:37" ht="15" customHeight="1">
      <c r="A170" s="843">
        <v>44084</v>
      </c>
      <c r="B170" s="843"/>
      <c r="C170" s="844" t="s">
        <v>46</v>
      </c>
      <c r="D170" s="844"/>
      <c r="E170" s="844"/>
      <c r="F170" s="844"/>
      <c r="G170" s="844"/>
      <c r="H170" s="844"/>
      <c r="I170" s="813"/>
      <c r="J170" s="845"/>
      <c r="K170" s="845"/>
      <c r="L170" s="845"/>
      <c r="M170" s="846"/>
      <c r="N170" s="846"/>
      <c r="O170" s="846"/>
      <c r="P170" s="846"/>
      <c r="Q170" s="846"/>
      <c r="R170" s="846"/>
      <c r="S170" s="846"/>
      <c r="T170" s="846"/>
      <c r="U170" s="846"/>
      <c r="V170" s="847"/>
      <c r="W170" s="847"/>
      <c r="X170" s="847"/>
      <c r="Y170" s="843"/>
      <c r="Z170" s="843"/>
      <c r="AA170" s="843"/>
      <c r="AB170" s="841"/>
      <c r="AC170" s="841"/>
      <c r="AD170" s="841"/>
      <c r="AE170" s="842">
        <v>2303.09</v>
      </c>
      <c r="AF170" s="842"/>
      <c r="AG170" s="842"/>
      <c r="AH170" s="842">
        <f>AH169+AB170-AE170</f>
        <v>-7210.3600000000006</v>
      </c>
      <c r="AI170" s="842"/>
      <c r="AJ170" s="842"/>
    </row>
    <row r="171" spans="1:37" ht="12.75" customHeight="1">
      <c r="A171" s="843">
        <v>44089</v>
      </c>
      <c r="B171" s="843"/>
      <c r="C171" s="844" t="s">
        <v>47</v>
      </c>
      <c r="D171" s="844"/>
      <c r="E171" s="844"/>
      <c r="F171" s="844"/>
      <c r="G171" s="844"/>
      <c r="H171" s="844"/>
      <c r="I171" s="813"/>
      <c r="J171" s="845"/>
      <c r="K171" s="845"/>
      <c r="L171" s="845"/>
      <c r="M171" s="846"/>
      <c r="N171" s="846"/>
      <c r="O171" s="846"/>
      <c r="P171" s="846"/>
      <c r="Q171" s="846"/>
      <c r="R171" s="846"/>
      <c r="S171" s="846"/>
      <c r="T171" s="846"/>
      <c r="U171" s="846"/>
      <c r="V171" s="847"/>
      <c r="W171" s="847"/>
      <c r="X171" s="847"/>
      <c r="Y171" s="843"/>
      <c r="Z171" s="843"/>
      <c r="AA171" s="843"/>
      <c r="AB171" s="841"/>
      <c r="AC171" s="841"/>
      <c r="AD171" s="841"/>
      <c r="AE171" s="842">
        <v>499</v>
      </c>
      <c r="AF171" s="842"/>
      <c r="AG171" s="842"/>
      <c r="AH171" s="842">
        <f>AH170+AB171-AE171</f>
        <v>-7709.3600000000006</v>
      </c>
      <c r="AI171" s="842"/>
      <c r="AJ171" s="842"/>
    </row>
    <row r="172" spans="1:37" ht="12.75" customHeight="1">
      <c r="A172" s="818"/>
      <c r="B172" s="818"/>
      <c r="C172" s="550"/>
      <c r="D172" s="550"/>
      <c r="E172" s="550"/>
      <c r="F172" s="550"/>
      <c r="G172" s="550"/>
      <c r="H172" s="550"/>
      <c r="I172" s="819"/>
      <c r="J172" s="819"/>
      <c r="K172" s="819"/>
      <c r="L172" s="819"/>
      <c r="M172" s="819"/>
      <c r="N172" s="819"/>
      <c r="O172" s="819"/>
      <c r="P172" s="819"/>
      <c r="Q172" s="819"/>
      <c r="R172" s="819"/>
      <c r="S172" s="819"/>
      <c r="T172" s="819"/>
      <c r="U172" s="819"/>
      <c r="V172" s="819"/>
      <c r="W172" s="819"/>
      <c r="X172" s="819"/>
      <c r="Y172" s="818"/>
      <c r="Z172" s="818"/>
      <c r="AA172" s="818"/>
      <c r="AB172" s="566"/>
      <c r="AC172" s="566"/>
      <c r="AD172" s="566"/>
      <c r="AE172" s="567"/>
      <c r="AF172" s="567"/>
      <c r="AG172" s="567"/>
      <c r="AH172" s="567"/>
      <c r="AI172" s="567"/>
      <c r="AJ172" s="567"/>
      <c r="AK172" s="818"/>
    </row>
    <row r="173" spans="1:37" ht="12.75" customHeight="1">
      <c r="A173" s="538" t="s">
        <v>16</v>
      </c>
      <c r="B173" s="531">
        <f>AD156</f>
        <v>28</v>
      </c>
      <c r="C173" s="531">
        <v>29</v>
      </c>
      <c r="D173" s="531">
        <v>30</v>
      </c>
      <c r="E173" s="529">
        <v>1</v>
      </c>
      <c r="F173" s="529">
        <v>2</v>
      </c>
      <c r="G173" s="529">
        <v>3</v>
      </c>
      <c r="H173" s="526">
        <v>4</v>
      </c>
      <c r="I173" s="527">
        <f t="shared" si="13"/>
        <v>5</v>
      </c>
      <c r="J173" s="527">
        <f t="shared" si="14"/>
        <v>6</v>
      </c>
      <c r="K173" s="527">
        <f t="shared" si="15"/>
        <v>7</v>
      </c>
      <c r="L173" s="527">
        <f t="shared" si="16"/>
        <v>8</v>
      </c>
      <c r="M173" s="527">
        <f t="shared" si="17"/>
        <v>9</v>
      </c>
      <c r="N173" s="527">
        <f t="shared" si="18"/>
        <v>10</v>
      </c>
      <c r="O173" s="526">
        <f t="shared" si="19"/>
        <v>11</v>
      </c>
      <c r="P173" s="527">
        <f t="shared" si="20"/>
        <v>12</v>
      </c>
      <c r="Q173" s="527">
        <f t="shared" si="21"/>
        <v>13</v>
      </c>
      <c r="R173" s="527">
        <f t="shared" si="22"/>
        <v>14</v>
      </c>
      <c r="S173" s="527">
        <f t="shared" si="23"/>
        <v>15</v>
      </c>
      <c r="T173" s="527">
        <f t="shared" si="24"/>
        <v>16</v>
      </c>
      <c r="U173" s="527">
        <f t="shared" si="25"/>
        <v>17</v>
      </c>
      <c r="V173" s="526">
        <f t="shared" si="26"/>
        <v>18</v>
      </c>
      <c r="W173" s="527">
        <f t="shared" si="27"/>
        <v>19</v>
      </c>
      <c r="X173" s="527">
        <f t="shared" si="28"/>
        <v>20</v>
      </c>
      <c r="Y173" s="527">
        <f t="shared" si="29"/>
        <v>21</v>
      </c>
      <c r="Z173" s="527">
        <f t="shared" si="30"/>
        <v>22</v>
      </c>
      <c r="AA173" s="527">
        <f t="shared" si="31"/>
        <v>23</v>
      </c>
      <c r="AB173" s="527">
        <f t="shared" si="32"/>
        <v>24</v>
      </c>
      <c r="AC173" s="526">
        <f t="shared" si="33"/>
        <v>25</v>
      </c>
      <c r="AD173" s="527">
        <f t="shared" si="34"/>
        <v>26</v>
      </c>
      <c r="AE173" s="527">
        <f t="shared" si="35"/>
        <v>27</v>
      </c>
      <c r="AF173" s="527">
        <f t="shared" si="36"/>
        <v>28</v>
      </c>
      <c r="AG173" s="527">
        <f t="shared" ref="AG173:AG182" si="50">AF173+1</f>
        <v>29</v>
      </c>
      <c r="AH173" s="527">
        <f t="shared" ref="AH173:AH182" si="51">AG173+1</f>
        <v>30</v>
      </c>
      <c r="AI173" s="527">
        <f t="shared" ref="AI173:AI182" si="52">AH173+1</f>
        <v>31</v>
      </c>
      <c r="AJ173" s="526">
        <v>1</v>
      </c>
      <c r="AK173" s="538" t="s">
        <v>16</v>
      </c>
    </row>
    <row r="174" spans="1:37" ht="15" customHeight="1">
      <c r="A174" s="513"/>
      <c r="B174" s="564"/>
      <c r="C174" s="564"/>
      <c r="D174" s="564"/>
      <c r="E174" s="514"/>
      <c r="F174" s="514"/>
      <c r="G174" s="514"/>
      <c r="H174" s="565"/>
      <c r="I174" s="823"/>
      <c r="J174" s="823"/>
      <c r="K174" s="823"/>
      <c r="L174" s="823"/>
      <c r="M174" s="823"/>
      <c r="N174" s="823"/>
      <c r="O174" s="565"/>
      <c r="P174" s="823"/>
      <c r="Q174" s="823"/>
      <c r="R174" s="823"/>
      <c r="S174" s="823"/>
      <c r="T174" s="823"/>
      <c r="U174" s="823"/>
      <c r="V174" s="565"/>
      <c r="W174" s="823"/>
      <c r="X174" s="823"/>
      <c r="Y174" s="823"/>
      <c r="Z174" s="823"/>
      <c r="AA174" s="823"/>
      <c r="AB174" s="823"/>
      <c r="AC174" s="565"/>
      <c r="AD174" s="823"/>
      <c r="AE174" s="823"/>
      <c r="AF174" s="823"/>
      <c r="AG174" s="823"/>
      <c r="AH174" s="823"/>
      <c r="AI174" s="823"/>
      <c r="AJ174" s="565"/>
      <c r="AK174" s="513"/>
    </row>
    <row r="175" spans="1:37" ht="12.75" customHeight="1">
      <c r="A175" s="843">
        <v>44018</v>
      </c>
      <c r="B175" s="843"/>
      <c r="C175" s="844" t="s">
        <v>26</v>
      </c>
      <c r="D175" s="844"/>
      <c r="E175" s="844"/>
      <c r="F175" s="844"/>
      <c r="G175" s="844"/>
      <c r="H175" s="844"/>
      <c r="I175" s="813"/>
      <c r="J175" s="848"/>
      <c r="K175" s="849"/>
      <c r="L175" s="850"/>
      <c r="M175" s="848"/>
      <c r="N175" s="849"/>
      <c r="O175" s="850"/>
      <c r="P175" s="848"/>
      <c r="Q175" s="849"/>
      <c r="R175" s="850"/>
      <c r="S175" s="848"/>
      <c r="T175" s="849"/>
      <c r="U175" s="850"/>
      <c r="V175" s="848"/>
      <c r="W175" s="849"/>
      <c r="X175" s="850"/>
      <c r="Y175" s="843">
        <v>43983</v>
      </c>
      <c r="Z175" s="843"/>
      <c r="AA175" s="843"/>
      <c r="AB175" s="851"/>
      <c r="AC175" s="851"/>
      <c r="AD175" s="851"/>
      <c r="AE175" s="842">
        <v>20000</v>
      </c>
      <c r="AF175" s="842"/>
      <c r="AG175" s="842"/>
      <c r="AH175" s="842">
        <f>AH137+AB175-AE175</f>
        <v>-20000</v>
      </c>
      <c r="AI175" s="842"/>
      <c r="AJ175" s="842"/>
    </row>
    <row r="176" spans="1:37" ht="12.75" customHeight="1">
      <c r="A176" s="818"/>
      <c r="B176" s="818"/>
      <c r="C176" s="550"/>
      <c r="D176" s="550"/>
      <c r="E176" s="550"/>
      <c r="F176" s="550"/>
      <c r="G176" s="550"/>
      <c r="H176" s="550"/>
      <c r="I176" s="819"/>
      <c r="J176" s="819"/>
      <c r="K176" s="819"/>
      <c r="L176" s="819"/>
      <c r="M176" s="819"/>
      <c r="N176" s="819"/>
      <c r="O176" s="819"/>
      <c r="P176" s="819"/>
      <c r="Q176" s="819"/>
      <c r="R176" s="819"/>
      <c r="S176" s="819"/>
      <c r="T176" s="819"/>
      <c r="U176" s="819"/>
      <c r="V176" s="819"/>
      <c r="W176" s="819"/>
      <c r="X176" s="819"/>
      <c r="Y176" s="818"/>
      <c r="Z176" s="818"/>
      <c r="AA176" s="818"/>
      <c r="AB176" s="566"/>
      <c r="AC176" s="566"/>
      <c r="AD176" s="566"/>
      <c r="AE176" s="567"/>
      <c r="AF176" s="567"/>
      <c r="AG176" s="567"/>
      <c r="AH176" s="567"/>
      <c r="AI176" s="567"/>
      <c r="AJ176" s="567"/>
      <c r="AK176" s="818"/>
    </row>
    <row r="177" spans="1:37" ht="12.75" customHeight="1">
      <c r="A177" s="538" t="s">
        <v>17</v>
      </c>
      <c r="B177" s="531">
        <f>AD173</f>
        <v>26</v>
      </c>
      <c r="C177" s="531">
        <f>B177+1</f>
        <v>27</v>
      </c>
      <c r="D177" s="531">
        <f t="shared" ref="D177" si="53">C177+1</f>
        <v>28</v>
      </c>
      <c r="E177" s="531">
        <f t="shared" ref="E177" si="54">D177+1</f>
        <v>29</v>
      </c>
      <c r="F177" s="531">
        <f t="shared" ref="F177" si="55">E177+1</f>
        <v>30</v>
      </c>
      <c r="G177" s="531">
        <f t="shared" ref="G177" si="56">F177+1</f>
        <v>31</v>
      </c>
      <c r="H177" s="526">
        <v>1</v>
      </c>
      <c r="I177" s="527">
        <f t="shared" si="13"/>
        <v>2</v>
      </c>
      <c r="J177" s="527">
        <f t="shared" si="14"/>
        <v>3</v>
      </c>
      <c r="K177" s="527">
        <f t="shared" si="15"/>
        <v>4</v>
      </c>
      <c r="L177" s="527">
        <f t="shared" si="16"/>
        <v>5</v>
      </c>
      <c r="M177" s="527">
        <f t="shared" si="17"/>
        <v>6</v>
      </c>
      <c r="N177" s="527">
        <f t="shared" si="18"/>
        <v>7</v>
      </c>
      <c r="O177" s="526">
        <f t="shared" si="19"/>
        <v>8</v>
      </c>
      <c r="P177" s="527">
        <f t="shared" si="20"/>
        <v>9</v>
      </c>
      <c r="Q177" s="527">
        <f t="shared" si="21"/>
        <v>10</v>
      </c>
      <c r="R177" s="527">
        <f t="shared" si="22"/>
        <v>11</v>
      </c>
      <c r="S177" s="527">
        <f t="shared" si="23"/>
        <v>12</v>
      </c>
      <c r="T177" s="527">
        <f t="shared" si="24"/>
        <v>13</v>
      </c>
      <c r="U177" s="527">
        <f t="shared" si="25"/>
        <v>14</v>
      </c>
      <c r="V177" s="526">
        <f t="shared" si="26"/>
        <v>15</v>
      </c>
      <c r="W177" s="527">
        <f t="shared" si="27"/>
        <v>16</v>
      </c>
      <c r="X177" s="527">
        <f t="shared" si="28"/>
        <v>17</v>
      </c>
      <c r="Y177" s="530">
        <f t="shared" si="29"/>
        <v>18</v>
      </c>
      <c r="Z177" s="527">
        <f t="shared" si="30"/>
        <v>19</v>
      </c>
      <c r="AA177" s="527">
        <f t="shared" si="31"/>
        <v>20</v>
      </c>
      <c r="AB177" s="527">
        <f t="shared" si="32"/>
        <v>21</v>
      </c>
      <c r="AC177" s="526">
        <f t="shared" si="33"/>
        <v>22</v>
      </c>
      <c r="AD177" s="527">
        <f t="shared" si="34"/>
        <v>23</v>
      </c>
      <c r="AE177" s="527">
        <f t="shared" si="35"/>
        <v>24</v>
      </c>
      <c r="AF177" s="527">
        <f t="shared" si="36"/>
        <v>25</v>
      </c>
      <c r="AG177" s="527">
        <f t="shared" si="50"/>
        <v>26</v>
      </c>
      <c r="AH177" s="527">
        <f t="shared" si="51"/>
        <v>27</v>
      </c>
      <c r="AI177" s="527">
        <f t="shared" si="52"/>
        <v>28</v>
      </c>
      <c r="AJ177" s="526">
        <v>29</v>
      </c>
      <c r="AK177" s="538" t="s">
        <v>17</v>
      </c>
    </row>
    <row r="178" spans="1:37" ht="15" customHeight="1">
      <c r="A178" s="513"/>
      <c r="B178" s="823"/>
      <c r="C178" s="823"/>
      <c r="D178" s="823"/>
      <c r="E178" s="823"/>
      <c r="F178" s="823"/>
      <c r="G178" s="823"/>
      <c r="H178" s="823"/>
      <c r="I178" s="823"/>
      <c r="J178" s="823"/>
      <c r="K178" s="823"/>
      <c r="L178" s="823"/>
      <c r="M178" s="823"/>
      <c r="N178" s="823"/>
      <c r="O178" s="823"/>
      <c r="P178" s="823"/>
      <c r="Q178" s="823"/>
      <c r="R178" s="823"/>
      <c r="S178" s="823"/>
      <c r="T178" s="823"/>
      <c r="U178" s="823"/>
      <c r="V178" s="823"/>
      <c r="W178" s="823"/>
      <c r="X178" s="823"/>
      <c r="Y178" s="823"/>
      <c r="Z178" s="823"/>
      <c r="AA178" s="823"/>
      <c r="AB178" s="823"/>
      <c r="AC178" s="823"/>
      <c r="AD178" s="823"/>
      <c r="AE178" s="823"/>
      <c r="AF178" s="823"/>
      <c r="AG178" s="823"/>
      <c r="AH178" s="823"/>
      <c r="AI178" s="823"/>
      <c r="AJ178" s="823"/>
      <c r="AK178" s="513"/>
    </row>
    <row r="179" spans="1:37" ht="12.75" customHeight="1">
      <c r="A179" s="843">
        <v>44137</v>
      </c>
      <c r="B179" s="843"/>
      <c r="C179" s="844" t="s">
        <v>73</v>
      </c>
      <c r="D179" s="844"/>
      <c r="E179" s="844"/>
      <c r="F179" s="844"/>
      <c r="G179" s="844"/>
      <c r="H179" s="844"/>
      <c r="I179" s="813"/>
      <c r="J179" s="848"/>
      <c r="K179" s="849"/>
      <c r="L179" s="850"/>
      <c r="M179" s="848"/>
      <c r="N179" s="849"/>
      <c r="O179" s="850"/>
      <c r="P179" s="848"/>
      <c r="Q179" s="849"/>
      <c r="R179" s="850"/>
      <c r="S179" s="848"/>
      <c r="T179" s="849"/>
      <c r="U179" s="850"/>
      <c r="V179" s="848"/>
      <c r="W179" s="849"/>
      <c r="X179" s="850"/>
      <c r="Y179" s="843">
        <v>44137</v>
      </c>
      <c r="Z179" s="843"/>
      <c r="AA179" s="843"/>
      <c r="AB179" s="851"/>
      <c r="AC179" s="851"/>
      <c r="AD179" s="851"/>
      <c r="AE179" s="842">
        <v>15000</v>
      </c>
      <c r="AF179" s="842"/>
      <c r="AG179" s="842"/>
      <c r="AH179" s="842">
        <f>AH138+AB179-AE179</f>
        <v>34314.996666666673</v>
      </c>
      <c r="AI179" s="842"/>
      <c r="AJ179" s="842"/>
    </row>
    <row r="180" spans="1:37" ht="12.75" customHeight="1">
      <c r="A180" s="843">
        <v>44018</v>
      </c>
      <c r="B180" s="843"/>
      <c r="C180" s="844" t="s">
        <v>26</v>
      </c>
      <c r="D180" s="844"/>
      <c r="E180" s="844"/>
      <c r="F180" s="844"/>
      <c r="G180" s="844"/>
      <c r="H180" s="844"/>
      <c r="I180" s="813"/>
      <c r="J180" s="848"/>
      <c r="K180" s="849"/>
      <c r="L180" s="850"/>
      <c r="M180" s="848"/>
      <c r="N180" s="849"/>
      <c r="O180" s="850"/>
      <c r="P180" s="848"/>
      <c r="Q180" s="849"/>
      <c r="R180" s="850"/>
      <c r="S180" s="848"/>
      <c r="T180" s="849"/>
      <c r="U180" s="850"/>
      <c r="V180" s="848"/>
      <c r="W180" s="849"/>
      <c r="X180" s="850"/>
      <c r="Y180" s="843">
        <v>43983</v>
      </c>
      <c r="Z180" s="843"/>
      <c r="AA180" s="843"/>
      <c r="AB180" s="851"/>
      <c r="AC180" s="851"/>
      <c r="AD180" s="851"/>
      <c r="AE180" s="842">
        <v>20000</v>
      </c>
      <c r="AF180" s="842"/>
      <c r="AG180" s="842"/>
      <c r="AH180" s="842">
        <f>AH139+AB180-AE180</f>
        <v>-20000</v>
      </c>
      <c r="AI180" s="842"/>
      <c r="AJ180" s="842"/>
    </row>
    <row r="181" spans="1:37" ht="12.75" customHeight="1">
      <c r="A181" s="818"/>
      <c r="B181" s="818"/>
      <c r="C181" s="550"/>
      <c r="D181" s="550"/>
      <c r="E181" s="550"/>
      <c r="F181" s="550"/>
      <c r="G181" s="550"/>
      <c r="H181" s="550"/>
      <c r="I181" s="819"/>
      <c r="J181" s="819"/>
      <c r="K181" s="819"/>
      <c r="L181" s="819"/>
      <c r="M181" s="819"/>
      <c r="N181" s="819"/>
      <c r="O181" s="819"/>
      <c r="P181" s="819"/>
      <c r="Q181" s="819"/>
      <c r="R181" s="819"/>
      <c r="S181" s="819"/>
      <c r="T181" s="819"/>
      <c r="U181" s="819"/>
      <c r="V181" s="819"/>
      <c r="W181" s="819"/>
      <c r="X181" s="819"/>
      <c r="Y181" s="818"/>
      <c r="Z181" s="818"/>
      <c r="AA181" s="818"/>
      <c r="AB181" s="566"/>
      <c r="AC181" s="566"/>
      <c r="AD181" s="566"/>
      <c r="AE181" s="567"/>
      <c r="AF181" s="567"/>
      <c r="AG181" s="567"/>
      <c r="AH181" s="567"/>
      <c r="AI181" s="567"/>
      <c r="AJ181" s="567"/>
      <c r="AK181" s="818"/>
    </row>
    <row r="182" spans="1:37" ht="15" customHeight="1">
      <c r="A182" s="538" t="s">
        <v>74</v>
      </c>
      <c r="B182" s="531">
        <v>30</v>
      </c>
      <c r="C182" s="529">
        <v>1</v>
      </c>
      <c r="D182" s="529">
        <v>2</v>
      </c>
      <c r="E182" s="529">
        <v>3</v>
      </c>
      <c r="F182" s="529">
        <v>4</v>
      </c>
      <c r="G182" s="529">
        <v>5</v>
      </c>
      <c r="H182" s="526">
        <v>6</v>
      </c>
      <c r="I182" s="527">
        <f t="shared" si="13"/>
        <v>7</v>
      </c>
      <c r="J182" s="530">
        <f t="shared" si="14"/>
        <v>8</v>
      </c>
      <c r="K182" s="527">
        <f t="shared" si="15"/>
        <v>9</v>
      </c>
      <c r="L182" s="527">
        <f t="shared" si="16"/>
        <v>10</v>
      </c>
      <c r="M182" s="527">
        <f t="shared" si="17"/>
        <v>11</v>
      </c>
      <c r="N182" s="527">
        <f t="shared" si="18"/>
        <v>12</v>
      </c>
      <c r="O182" s="526">
        <f t="shared" si="19"/>
        <v>13</v>
      </c>
      <c r="P182" s="527">
        <f t="shared" si="20"/>
        <v>14</v>
      </c>
      <c r="Q182" s="527">
        <f t="shared" si="21"/>
        <v>15</v>
      </c>
      <c r="R182" s="527">
        <f t="shared" si="22"/>
        <v>16</v>
      </c>
      <c r="S182" s="527">
        <f t="shared" si="23"/>
        <v>17</v>
      </c>
      <c r="T182" s="527">
        <f t="shared" si="24"/>
        <v>18</v>
      </c>
      <c r="U182" s="527">
        <f t="shared" si="25"/>
        <v>19</v>
      </c>
      <c r="V182" s="526">
        <f t="shared" si="26"/>
        <v>20</v>
      </c>
      <c r="W182" s="527">
        <f t="shared" si="27"/>
        <v>21</v>
      </c>
      <c r="X182" s="527">
        <f t="shared" si="28"/>
        <v>22</v>
      </c>
      <c r="Y182" s="527">
        <f t="shared" si="29"/>
        <v>23</v>
      </c>
      <c r="Z182" s="527">
        <f t="shared" si="30"/>
        <v>24</v>
      </c>
      <c r="AA182" s="530">
        <f t="shared" si="31"/>
        <v>25</v>
      </c>
      <c r="AB182" s="527">
        <f t="shared" si="32"/>
        <v>26</v>
      </c>
      <c r="AC182" s="526">
        <f t="shared" si="33"/>
        <v>27</v>
      </c>
      <c r="AD182" s="527">
        <f t="shared" si="34"/>
        <v>28</v>
      </c>
      <c r="AE182" s="527">
        <f t="shared" si="35"/>
        <v>29</v>
      </c>
      <c r="AF182" s="527">
        <f t="shared" si="36"/>
        <v>30</v>
      </c>
      <c r="AG182" s="527">
        <f t="shared" si="50"/>
        <v>31</v>
      </c>
      <c r="AH182" s="531">
        <v>1</v>
      </c>
      <c r="AI182" s="531">
        <v>2</v>
      </c>
      <c r="AJ182" s="526">
        <v>3</v>
      </c>
      <c r="AK182" s="538" t="s">
        <v>74</v>
      </c>
    </row>
    <row r="184" spans="1:37" ht="15" customHeight="1">
      <c r="A184" s="843">
        <v>44018</v>
      </c>
      <c r="B184" s="843"/>
      <c r="C184" s="844" t="s">
        <v>26</v>
      </c>
      <c r="D184" s="844"/>
      <c r="E184" s="844"/>
      <c r="F184" s="844"/>
      <c r="G184" s="844"/>
      <c r="H184" s="844"/>
      <c r="I184" s="813"/>
      <c r="J184" s="848"/>
      <c r="K184" s="849"/>
      <c r="L184" s="850"/>
      <c r="M184" s="848"/>
      <c r="N184" s="849"/>
      <c r="O184" s="850"/>
      <c r="P184" s="848"/>
      <c r="Q184" s="849"/>
      <c r="R184" s="850"/>
      <c r="S184" s="848"/>
      <c r="T184" s="849"/>
      <c r="U184" s="850"/>
      <c r="V184" s="848"/>
      <c r="W184" s="849"/>
      <c r="X184" s="850"/>
      <c r="Y184" s="843">
        <v>43983</v>
      </c>
      <c r="Z184" s="843"/>
      <c r="AA184" s="843"/>
      <c r="AB184" s="851"/>
      <c r="AC184" s="851"/>
      <c r="AD184" s="851"/>
      <c r="AE184" s="842">
        <v>40000</v>
      </c>
      <c r="AF184" s="842"/>
      <c r="AG184" s="842"/>
      <c r="AH184" s="842">
        <f>AH155+AB184-AE184</f>
        <v>-40000</v>
      </c>
      <c r="AI184" s="842"/>
      <c r="AJ184" s="842"/>
    </row>
    <row r="185" spans="1:37" ht="15" customHeight="1">
      <c r="A185" s="818"/>
      <c r="B185" s="818"/>
      <c r="C185" s="550"/>
      <c r="D185" s="550"/>
      <c r="E185" s="550"/>
      <c r="F185" s="550"/>
      <c r="G185" s="550"/>
      <c r="H185" s="550"/>
      <c r="I185" s="819"/>
      <c r="J185" s="819"/>
      <c r="K185" s="819"/>
      <c r="L185" s="819"/>
      <c r="M185" s="819"/>
      <c r="N185" s="819"/>
      <c r="O185" s="819"/>
      <c r="P185" s="819"/>
      <c r="Q185" s="819"/>
      <c r="R185" s="819"/>
      <c r="S185" s="819"/>
      <c r="T185" s="819"/>
      <c r="U185" s="819"/>
      <c r="V185" s="819"/>
      <c r="W185" s="819"/>
      <c r="X185" s="819"/>
      <c r="Y185" s="818"/>
      <c r="Z185" s="818"/>
      <c r="AA185" s="818"/>
      <c r="AB185" s="566"/>
      <c r="AC185" s="566"/>
      <c r="AD185" s="566"/>
      <c r="AE185" s="567"/>
      <c r="AF185" s="567"/>
      <c r="AG185" s="567"/>
      <c r="AH185" s="567"/>
      <c r="AI185" s="567"/>
      <c r="AJ185" s="567"/>
      <c r="AK185" s="818"/>
    </row>
    <row r="186" spans="1:37" ht="15" customHeight="1">
      <c r="A186" s="538" t="s">
        <v>75</v>
      </c>
      <c r="B186" s="531">
        <v>30</v>
      </c>
      <c r="C186" s="529">
        <v>1</v>
      </c>
      <c r="D186" s="529">
        <v>2</v>
      </c>
      <c r="E186" s="529">
        <v>3</v>
      </c>
      <c r="F186" s="529">
        <v>4</v>
      </c>
      <c r="G186" s="529">
        <v>5</v>
      </c>
      <c r="H186" s="526">
        <v>6</v>
      </c>
      <c r="I186" s="527">
        <f t="shared" ref="I186" si="57">H186+1</f>
        <v>7</v>
      </c>
      <c r="J186" s="530">
        <f t="shared" ref="J186" si="58">I186+1</f>
        <v>8</v>
      </c>
      <c r="K186" s="527">
        <f t="shared" ref="K186" si="59">J186+1</f>
        <v>9</v>
      </c>
      <c r="L186" s="527">
        <f t="shared" ref="L186" si="60">K186+1</f>
        <v>10</v>
      </c>
      <c r="M186" s="527">
        <f t="shared" ref="M186" si="61">L186+1</f>
        <v>11</v>
      </c>
      <c r="N186" s="527">
        <f t="shared" ref="N186" si="62">M186+1</f>
        <v>12</v>
      </c>
      <c r="O186" s="526">
        <f t="shared" ref="O186" si="63">N186+1</f>
        <v>13</v>
      </c>
      <c r="P186" s="527">
        <f t="shared" ref="P186" si="64">O186+1</f>
        <v>14</v>
      </c>
      <c r="Q186" s="527">
        <f t="shared" ref="Q186" si="65">P186+1</f>
        <v>15</v>
      </c>
      <c r="R186" s="527">
        <f t="shared" ref="R186" si="66">Q186+1</f>
        <v>16</v>
      </c>
      <c r="S186" s="527">
        <f t="shared" ref="S186" si="67">R186+1</f>
        <v>17</v>
      </c>
      <c r="T186" s="527">
        <f t="shared" ref="T186" si="68">S186+1</f>
        <v>18</v>
      </c>
      <c r="U186" s="527">
        <f t="shared" ref="U186" si="69">T186+1</f>
        <v>19</v>
      </c>
      <c r="V186" s="526">
        <f t="shared" ref="V186" si="70">U186+1</f>
        <v>20</v>
      </c>
      <c r="W186" s="527">
        <f t="shared" ref="W186" si="71">V186+1</f>
        <v>21</v>
      </c>
      <c r="X186" s="527">
        <f t="shared" ref="X186" si="72">W186+1</f>
        <v>22</v>
      </c>
      <c r="Y186" s="527">
        <f t="shared" ref="Y186" si="73">X186+1</f>
        <v>23</v>
      </c>
      <c r="Z186" s="527">
        <f t="shared" ref="Z186" si="74">Y186+1</f>
        <v>24</v>
      </c>
      <c r="AA186" s="530">
        <f t="shared" ref="AA186" si="75">Z186+1</f>
        <v>25</v>
      </c>
      <c r="AB186" s="527">
        <f t="shared" ref="AB186" si="76">AA186+1</f>
        <v>26</v>
      </c>
      <c r="AC186" s="526">
        <f t="shared" ref="AC186" si="77">AB186+1</f>
        <v>27</v>
      </c>
      <c r="AD186" s="527">
        <f t="shared" ref="AD186" si="78">AC186+1</f>
        <v>28</v>
      </c>
      <c r="AE186" s="527">
        <f t="shared" ref="AE186" si="79">AD186+1</f>
        <v>29</v>
      </c>
      <c r="AF186" s="527">
        <f t="shared" ref="AF186" si="80">AE186+1</f>
        <v>30</v>
      </c>
      <c r="AG186" s="527">
        <f t="shared" ref="AG186" si="81">AF186+1</f>
        <v>31</v>
      </c>
      <c r="AH186" s="531">
        <v>1</v>
      </c>
      <c r="AI186" s="531">
        <v>2</v>
      </c>
      <c r="AJ186" s="526">
        <v>3</v>
      </c>
      <c r="AK186" s="538" t="s">
        <v>75</v>
      </c>
    </row>
    <row r="188" spans="1:37" ht="15" customHeight="1">
      <c r="A188" s="843">
        <v>44200</v>
      </c>
      <c r="B188" s="843"/>
      <c r="C188" s="844" t="s">
        <v>26</v>
      </c>
      <c r="D188" s="844"/>
      <c r="E188" s="844"/>
      <c r="F188" s="844"/>
      <c r="G188" s="844"/>
      <c r="H188" s="844"/>
      <c r="I188" s="813"/>
      <c r="J188" s="848"/>
      <c r="K188" s="849"/>
      <c r="L188" s="850"/>
      <c r="M188" s="848"/>
      <c r="N188" s="849"/>
      <c r="O188" s="850"/>
      <c r="P188" s="848"/>
      <c r="Q188" s="849"/>
      <c r="R188" s="850"/>
      <c r="S188" s="848"/>
      <c r="T188" s="849"/>
      <c r="U188" s="850"/>
      <c r="V188" s="848"/>
      <c r="W188" s="849"/>
      <c r="X188" s="850"/>
      <c r="Y188" s="843">
        <v>43983</v>
      </c>
      <c r="Z188" s="843"/>
      <c r="AA188" s="843"/>
      <c r="AB188" s="851"/>
      <c r="AC188" s="851"/>
      <c r="AD188" s="851"/>
      <c r="AE188" s="842">
        <v>20000</v>
      </c>
      <c r="AF188" s="842"/>
      <c r="AG188" s="842"/>
      <c r="AH188" s="842">
        <f>AH172+AB188-AE188</f>
        <v>-20000</v>
      </c>
      <c r="AI188" s="842"/>
      <c r="AJ188" s="842"/>
    </row>
    <row r="189" spans="1:37" ht="15" customHeight="1">
      <c r="A189" s="818"/>
      <c r="B189" s="818"/>
      <c r="C189" s="550"/>
      <c r="D189" s="550"/>
      <c r="E189" s="550"/>
      <c r="F189" s="550"/>
      <c r="G189" s="550"/>
      <c r="H189" s="550"/>
      <c r="I189" s="819"/>
      <c r="J189" s="819"/>
      <c r="K189" s="819"/>
      <c r="L189" s="819"/>
      <c r="M189" s="819"/>
      <c r="N189" s="819"/>
      <c r="O189" s="819"/>
      <c r="P189" s="819"/>
      <c r="Q189" s="819"/>
      <c r="R189" s="819"/>
      <c r="S189" s="819"/>
      <c r="T189" s="819"/>
      <c r="U189" s="819"/>
      <c r="V189" s="819"/>
      <c r="W189" s="819"/>
      <c r="X189" s="819"/>
      <c r="Y189" s="818"/>
      <c r="Z189" s="818"/>
      <c r="AA189" s="818"/>
      <c r="AB189" s="566"/>
      <c r="AC189" s="566"/>
      <c r="AD189" s="566"/>
      <c r="AE189" s="567"/>
      <c r="AF189" s="567"/>
      <c r="AG189" s="567"/>
      <c r="AH189" s="567"/>
      <c r="AI189" s="567"/>
      <c r="AJ189" s="567"/>
      <c r="AK189" s="818"/>
    </row>
    <row r="190" spans="1:37" ht="15" customHeight="1">
      <c r="A190" s="538" t="s">
        <v>76</v>
      </c>
      <c r="B190" s="531">
        <v>30</v>
      </c>
      <c r="C190" s="529">
        <v>1</v>
      </c>
      <c r="D190" s="529">
        <v>2</v>
      </c>
      <c r="E190" s="529">
        <v>3</v>
      </c>
      <c r="F190" s="529">
        <v>4</v>
      </c>
      <c r="G190" s="529">
        <v>5</v>
      </c>
      <c r="H190" s="526">
        <v>6</v>
      </c>
      <c r="I190" s="527">
        <f t="shared" ref="I190" si="82">H190+1</f>
        <v>7</v>
      </c>
      <c r="J190" s="530">
        <f t="shared" ref="J190" si="83">I190+1</f>
        <v>8</v>
      </c>
      <c r="K190" s="527">
        <f t="shared" ref="K190" si="84">J190+1</f>
        <v>9</v>
      </c>
      <c r="L190" s="527">
        <f t="shared" ref="L190" si="85">K190+1</f>
        <v>10</v>
      </c>
      <c r="M190" s="527">
        <f t="shared" ref="M190" si="86">L190+1</f>
        <v>11</v>
      </c>
      <c r="N190" s="527">
        <f t="shared" ref="N190" si="87">M190+1</f>
        <v>12</v>
      </c>
      <c r="O190" s="526">
        <f t="shared" ref="O190" si="88">N190+1</f>
        <v>13</v>
      </c>
      <c r="P190" s="527">
        <f t="shared" ref="P190" si="89">O190+1</f>
        <v>14</v>
      </c>
      <c r="Q190" s="527">
        <f t="shared" ref="Q190" si="90">P190+1</f>
        <v>15</v>
      </c>
      <c r="R190" s="527">
        <f t="shared" ref="R190" si="91">Q190+1</f>
        <v>16</v>
      </c>
      <c r="S190" s="527">
        <f t="shared" ref="S190" si="92">R190+1</f>
        <v>17</v>
      </c>
      <c r="T190" s="527">
        <f t="shared" ref="T190" si="93">S190+1</f>
        <v>18</v>
      </c>
      <c r="U190" s="527">
        <f t="shared" ref="U190" si="94">T190+1</f>
        <v>19</v>
      </c>
      <c r="V190" s="526">
        <f t="shared" ref="V190" si="95">U190+1</f>
        <v>20</v>
      </c>
      <c r="W190" s="527">
        <f t="shared" ref="W190" si="96">V190+1</f>
        <v>21</v>
      </c>
      <c r="X190" s="527">
        <f t="shared" ref="X190" si="97">W190+1</f>
        <v>22</v>
      </c>
      <c r="Y190" s="527">
        <f t="shared" ref="Y190" si="98">X190+1</f>
        <v>23</v>
      </c>
      <c r="Z190" s="527">
        <f t="shared" ref="Z190" si="99">Y190+1</f>
        <v>24</v>
      </c>
      <c r="AA190" s="530">
        <f t="shared" ref="AA190" si="100">Z190+1</f>
        <v>25</v>
      </c>
      <c r="AB190" s="527">
        <f t="shared" ref="AB190" si="101">AA190+1</f>
        <v>26</v>
      </c>
      <c r="AC190" s="526">
        <f t="shared" ref="AC190" si="102">AB190+1</f>
        <v>27</v>
      </c>
      <c r="AD190" s="527">
        <f t="shared" ref="AD190" si="103">AC190+1</f>
        <v>28</v>
      </c>
      <c r="AE190" s="527">
        <f t="shared" ref="AE190" si="104">AD190+1</f>
        <v>29</v>
      </c>
      <c r="AF190" s="527">
        <f t="shared" ref="AF190" si="105">AE190+1</f>
        <v>30</v>
      </c>
      <c r="AG190" s="527">
        <f t="shared" ref="AG190" si="106">AF190+1</f>
        <v>31</v>
      </c>
      <c r="AH190" s="531">
        <v>1</v>
      </c>
      <c r="AI190" s="531">
        <v>2</v>
      </c>
      <c r="AJ190" s="526">
        <v>3</v>
      </c>
      <c r="AK190" s="538" t="s">
        <v>76</v>
      </c>
    </row>
    <row r="192" spans="1:37" ht="15" customHeight="1">
      <c r="A192" s="843">
        <v>44228</v>
      </c>
      <c r="B192" s="843"/>
      <c r="C192" s="844" t="s">
        <v>26</v>
      </c>
      <c r="D192" s="844"/>
      <c r="E192" s="844"/>
      <c r="F192" s="844"/>
      <c r="G192" s="844"/>
      <c r="H192" s="844"/>
      <c r="I192" s="813"/>
      <c r="J192" s="848"/>
      <c r="K192" s="849"/>
      <c r="L192" s="850"/>
      <c r="M192" s="848"/>
      <c r="N192" s="849"/>
      <c r="O192" s="850"/>
      <c r="P192" s="848"/>
      <c r="Q192" s="849"/>
      <c r="R192" s="850"/>
      <c r="S192" s="848"/>
      <c r="T192" s="849"/>
      <c r="U192" s="850"/>
      <c r="V192" s="848"/>
      <c r="W192" s="849"/>
      <c r="X192" s="850"/>
      <c r="Y192" s="843">
        <v>43983</v>
      </c>
      <c r="Z192" s="843"/>
      <c r="AA192" s="843"/>
      <c r="AB192" s="851"/>
      <c r="AC192" s="851"/>
      <c r="AD192" s="851"/>
      <c r="AE192" s="842">
        <v>20000</v>
      </c>
      <c r="AF192" s="842"/>
      <c r="AG192" s="842"/>
      <c r="AH192" s="842">
        <f>AH176+AB192-AE192</f>
        <v>-20000</v>
      </c>
      <c r="AI192" s="842"/>
      <c r="AJ192" s="842"/>
    </row>
    <row r="193" spans="1:37" ht="15" customHeight="1">
      <c r="A193" s="818"/>
      <c r="B193" s="818"/>
      <c r="C193" s="550"/>
      <c r="D193" s="550"/>
      <c r="E193" s="550"/>
      <c r="F193" s="550"/>
      <c r="G193" s="550"/>
      <c r="H193" s="550"/>
      <c r="I193" s="819"/>
      <c r="J193" s="819"/>
      <c r="K193" s="819"/>
      <c r="L193" s="819"/>
      <c r="M193" s="819"/>
      <c r="N193" s="819"/>
      <c r="O193" s="819"/>
      <c r="P193" s="819"/>
      <c r="Q193" s="819"/>
      <c r="R193" s="819"/>
      <c r="S193" s="819"/>
      <c r="T193" s="819"/>
      <c r="U193" s="819"/>
      <c r="V193" s="819"/>
      <c r="W193" s="819"/>
      <c r="X193" s="819"/>
      <c r="Y193" s="818"/>
      <c r="Z193" s="818"/>
      <c r="AA193" s="818"/>
      <c r="AB193" s="566"/>
      <c r="AC193" s="566"/>
      <c r="AD193" s="566"/>
      <c r="AE193" s="567"/>
      <c r="AF193" s="567"/>
      <c r="AG193" s="567"/>
      <c r="AH193" s="567"/>
      <c r="AI193" s="567"/>
      <c r="AJ193" s="567"/>
      <c r="AK193" s="818"/>
    </row>
    <row r="194" spans="1:37" ht="15" customHeight="1">
      <c r="A194" s="538" t="s">
        <v>77</v>
      </c>
      <c r="B194" s="531">
        <v>30</v>
      </c>
      <c r="C194" s="529">
        <v>1</v>
      </c>
      <c r="D194" s="529">
        <v>2</v>
      </c>
      <c r="E194" s="529">
        <v>3</v>
      </c>
      <c r="F194" s="529">
        <v>4</v>
      </c>
      <c r="G194" s="529">
        <v>5</v>
      </c>
      <c r="H194" s="526">
        <v>6</v>
      </c>
      <c r="I194" s="527">
        <f t="shared" ref="I194" si="107">H194+1</f>
        <v>7</v>
      </c>
      <c r="J194" s="530">
        <f t="shared" ref="J194" si="108">I194+1</f>
        <v>8</v>
      </c>
      <c r="K194" s="527">
        <f t="shared" ref="K194" si="109">J194+1</f>
        <v>9</v>
      </c>
      <c r="L194" s="527">
        <f t="shared" ref="L194" si="110">K194+1</f>
        <v>10</v>
      </c>
      <c r="M194" s="527">
        <f t="shared" ref="M194" si="111">L194+1</f>
        <v>11</v>
      </c>
      <c r="N194" s="527">
        <f t="shared" ref="N194" si="112">M194+1</f>
        <v>12</v>
      </c>
      <c r="O194" s="526">
        <f t="shared" ref="O194" si="113">N194+1</f>
        <v>13</v>
      </c>
      <c r="P194" s="527">
        <f t="shared" ref="P194" si="114">O194+1</f>
        <v>14</v>
      </c>
      <c r="Q194" s="527">
        <f t="shared" ref="Q194" si="115">P194+1</f>
        <v>15</v>
      </c>
      <c r="R194" s="527">
        <f t="shared" ref="R194" si="116">Q194+1</f>
        <v>16</v>
      </c>
      <c r="S194" s="527">
        <f t="shared" ref="S194" si="117">R194+1</f>
        <v>17</v>
      </c>
      <c r="T194" s="527">
        <f t="shared" ref="T194" si="118">S194+1</f>
        <v>18</v>
      </c>
      <c r="U194" s="527">
        <f t="shared" ref="U194" si="119">T194+1</f>
        <v>19</v>
      </c>
      <c r="V194" s="526">
        <f t="shared" ref="V194" si="120">U194+1</f>
        <v>20</v>
      </c>
      <c r="W194" s="527">
        <f t="shared" ref="W194" si="121">V194+1</f>
        <v>21</v>
      </c>
      <c r="X194" s="527">
        <f t="shared" ref="X194" si="122">W194+1</f>
        <v>22</v>
      </c>
      <c r="Y194" s="527">
        <f t="shared" ref="Y194" si="123">X194+1</f>
        <v>23</v>
      </c>
      <c r="Z194" s="527">
        <f t="shared" ref="Z194" si="124">Y194+1</f>
        <v>24</v>
      </c>
      <c r="AA194" s="530">
        <f t="shared" ref="AA194" si="125">Z194+1</f>
        <v>25</v>
      </c>
      <c r="AB194" s="527">
        <f t="shared" ref="AB194" si="126">AA194+1</f>
        <v>26</v>
      </c>
      <c r="AC194" s="526">
        <f t="shared" ref="AC194" si="127">AB194+1</f>
        <v>27</v>
      </c>
      <c r="AD194" s="527">
        <f t="shared" ref="AD194" si="128">AC194+1</f>
        <v>28</v>
      </c>
      <c r="AE194" s="527">
        <f t="shared" ref="AE194" si="129">AD194+1</f>
        <v>29</v>
      </c>
      <c r="AF194" s="527">
        <f t="shared" ref="AF194" si="130">AE194+1</f>
        <v>30</v>
      </c>
      <c r="AG194" s="527">
        <f t="shared" ref="AG194" si="131">AF194+1</f>
        <v>31</v>
      </c>
      <c r="AH194" s="531">
        <v>1</v>
      </c>
      <c r="AI194" s="531">
        <v>2</v>
      </c>
      <c r="AJ194" s="526">
        <v>3</v>
      </c>
      <c r="AK194" s="538" t="s">
        <v>77</v>
      </c>
    </row>
  </sheetData>
  <mergeCells count="1002">
    <mergeCell ref="D9:AB9"/>
    <mergeCell ref="A171:B171"/>
    <mergeCell ref="C171:H171"/>
    <mergeCell ref="J171:L171"/>
    <mergeCell ref="M171:O171"/>
    <mergeCell ref="P171:R171"/>
    <mergeCell ref="S171:U171"/>
    <mergeCell ref="V171:X171"/>
    <mergeCell ref="Y171:AA171"/>
    <mergeCell ref="AB171:AD171"/>
    <mergeCell ref="A170:B170"/>
    <mergeCell ref="C170:H170"/>
    <mergeCell ref="J170:L170"/>
    <mergeCell ref="M170:O170"/>
    <mergeCell ref="P170:R170"/>
    <mergeCell ref="S170:U170"/>
    <mergeCell ref="V170:X170"/>
    <mergeCell ref="Y170:AA170"/>
    <mergeCell ref="AB170:AD170"/>
    <mergeCell ref="A167:B167"/>
    <mergeCell ref="C167:H167"/>
    <mergeCell ref="J167:L167"/>
    <mergeCell ref="M167:O167"/>
    <mergeCell ref="P167:R167"/>
    <mergeCell ref="S167:U167"/>
    <mergeCell ref="V167:X167"/>
    <mergeCell ref="Y167:AA167"/>
    <mergeCell ref="AB167:AD167"/>
    <mergeCell ref="A164:B164"/>
    <mergeCell ref="C164:H164"/>
    <mergeCell ref="J164:L164"/>
    <mergeCell ref="M164:O164"/>
    <mergeCell ref="AE170:AG170"/>
    <mergeCell ref="AH170:AJ170"/>
    <mergeCell ref="A169:B169"/>
    <mergeCell ref="C169:H169"/>
    <mergeCell ref="J169:L169"/>
    <mergeCell ref="M169:O169"/>
    <mergeCell ref="P169:R169"/>
    <mergeCell ref="S169:U169"/>
    <mergeCell ref="V169:X169"/>
    <mergeCell ref="Y169:AA169"/>
    <mergeCell ref="AB169:AD169"/>
    <mergeCell ref="A168:B168"/>
    <mergeCell ref="C168:H168"/>
    <mergeCell ref="J168:L168"/>
    <mergeCell ref="M168:O168"/>
    <mergeCell ref="P168:R168"/>
    <mergeCell ref="S168:U168"/>
    <mergeCell ref="V168:X168"/>
    <mergeCell ref="Y168:AA168"/>
    <mergeCell ref="AB168:AD168"/>
    <mergeCell ref="AE168:AG168"/>
    <mergeCell ref="AH168:AJ168"/>
    <mergeCell ref="P164:R164"/>
    <mergeCell ref="S164:U164"/>
    <mergeCell ref="V164:X164"/>
    <mergeCell ref="Y164:AA164"/>
    <mergeCell ref="AB164:AD164"/>
    <mergeCell ref="A166:B166"/>
    <mergeCell ref="C166:H166"/>
    <mergeCell ref="J166:L166"/>
    <mergeCell ref="M166:O166"/>
    <mergeCell ref="P166:R166"/>
    <mergeCell ref="S166:U166"/>
    <mergeCell ref="V166:X166"/>
    <mergeCell ref="Y166:AA166"/>
    <mergeCell ref="AB166:AD166"/>
    <mergeCell ref="A165:B165"/>
    <mergeCell ref="C165:H165"/>
    <mergeCell ref="J165:L165"/>
    <mergeCell ref="M165:O165"/>
    <mergeCell ref="P165:R165"/>
    <mergeCell ref="S165:U165"/>
    <mergeCell ref="V165:X165"/>
    <mergeCell ref="Y165:AA165"/>
    <mergeCell ref="AB165:AD165"/>
    <mergeCell ref="A162:B162"/>
    <mergeCell ref="C162:H162"/>
    <mergeCell ref="J162:L162"/>
    <mergeCell ref="M162:O162"/>
    <mergeCell ref="P162:R162"/>
    <mergeCell ref="S162:U162"/>
    <mergeCell ref="V162:X162"/>
    <mergeCell ref="Y162:AA162"/>
    <mergeCell ref="AB162:AD162"/>
    <mergeCell ref="A163:B163"/>
    <mergeCell ref="C163:H163"/>
    <mergeCell ref="J163:L163"/>
    <mergeCell ref="M163:O163"/>
    <mergeCell ref="P163:R163"/>
    <mergeCell ref="S163:U163"/>
    <mergeCell ref="V163:X163"/>
    <mergeCell ref="Y163:AA163"/>
    <mergeCell ref="AB163:AD163"/>
    <mergeCell ref="AE144:AG144"/>
    <mergeCell ref="AH144:AJ144"/>
    <mergeCell ref="A144:B144"/>
    <mergeCell ref="C144:H144"/>
    <mergeCell ref="J144:L144"/>
    <mergeCell ref="M144:O144"/>
    <mergeCell ref="P144:R144"/>
    <mergeCell ref="S144:U144"/>
    <mergeCell ref="V144:X144"/>
    <mergeCell ref="Y144:AA144"/>
    <mergeCell ref="AB144:AD144"/>
    <mergeCell ref="A159:B159"/>
    <mergeCell ref="C159:H159"/>
    <mergeCell ref="J159:L159"/>
    <mergeCell ref="M159:O159"/>
    <mergeCell ref="P159:R159"/>
    <mergeCell ref="S159:U159"/>
    <mergeCell ref="V159:X159"/>
    <mergeCell ref="Y159:AA159"/>
    <mergeCell ref="AB159:AD159"/>
    <mergeCell ref="AB158:AD158"/>
    <mergeCell ref="AE145:AG145"/>
    <mergeCell ref="AH145:AJ145"/>
    <mergeCell ref="A147:B147"/>
    <mergeCell ref="C147:H147"/>
    <mergeCell ref="J147:L147"/>
    <mergeCell ref="M147:O147"/>
    <mergeCell ref="P147:R147"/>
    <mergeCell ref="S147:U147"/>
    <mergeCell ref="V147:X147"/>
    <mergeCell ref="Y147:AA147"/>
    <mergeCell ref="AB147:AD147"/>
    <mergeCell ref="Y137:AA137"/>
    <mergeCell ref="Y138:AA138"/>
    <mergeCell ref="AB138:AD138"/>
    <mergeCell ref="AE138:AG138"/>
    <mergeCell ref="AH138:AJ138"/>
    <mergeCell ref="AE135:AG135"/>
    <mergeCell ref="AH135:AJ135"/>
    <mergeCell ref="A136:B136"/>
    <mergeCell ref="C136:H136"/>
    <mergeCell ref="J136:L136"/>
    <mergeCell ref="M136:O136"/>
    <mergeCell ref="P136:R136"/>
    <mergeCell ref="S136:U136"/>
    <mergeCell ref="V136:X136"/>
    <mergeCell ref="Y136:AA136"/>
    <mergeCell ref="AB136:AD136"/>
    <mergeCell ref="AE136:AG136"/>
    <mergeCell ref="AH136:AJ136"/>
    <mergeCell ref="A135:B135"/>
    <mergeCell ref="C135:H135"/>
    <mergeCell ref="J135:L135"/>
    <mergeCell ref="M135:O135"/>
    <mergeCell ref="P135:R135"/>
    <mergeCell ref="S135:U135"/>
    <mergeCell ref="V135:X135"/>
    <mergeCell ref="Y135:AA135"/>
    <mergeCell ref="AB135:AD135"/>
    <mergeCell ref="AE133:AG133"/>
    <mergeCell ref="AH133:AJ133"/>
    <mergeCell ref="A134:B134"/>
    <mergeCell ref="C134:H134"/>
    <mergeCell ref="J134:L134"/>
    <mergeCell ref="M134:O134"/>
    <mergeCell ref="P134:R134"/>
    <mergeCell ref="S134:U134"/>
    <mergeCell ref="V134:X134"/>
    <mergeCell ref="Y134:AA134"/>
    <mergeCell ref="AB134:AD134"/>
    <mergeCell ref="AE134:AG134"/>
    <mergeCell ref="AH134:AJ134"/>
    <mergeCell ref="A133:B133"/>
    <mergeCell ref="C133:H133"/>
    <mergeCell ref="J133:L133"/>
    <mergeCell ref="M133:O133"/>
    <mergeCell ref="P133:R133"/>
    <mergeCell ref="S133:U133"/>
    <mergeCell ref="V133:X133"/>
    <mergeCell ref="Y133:AA133"/>
    <mergeCell ref="AB133:AD133"/>
    <mergeCell ref="AE131:AG131"/>
    <mergeCell ref="AH131:AJ131"/>
    <mergeCell ref="A132:B132"/>
    <mergeCell ref="C132:H132"/>
    <mergeCell ref="J132:L132"/>
    <mergeCell ref="M132:O132"/>
    <mergeCell ref="P132:R132"/>
    <mergeCell ref="S132:U132"/>
    <mergeCell ref="V132:X132"/>
    <mergeCell ref="Y132:AA132"/>
    <mergeCell ref="AB132:AD132"/>
    <mergeCell ref="AE132:AG132"/>
    <mergeCell ref="AH132:AJ132"/>
    <mergeCell ref="A131:B131"/>
    <mergeCell ref="C131:H131"/>
    <mergeCell ref="J131:L131"/>
    <mergeCell ref="M131:O131"/>
    <mergeCell ref="P131:R131"/>
    <mergeCell ref="S131:U131"/>
    <mergeCell ref="V131:X131"/>
    <mergeCell ref="Y131:AA131"/>
    <mergeCell ref="AB131:AD131"/>
    <mergeCell ref="AE129:AG129"/>
    <mergeCell ref="AH129:AJ129"/>
    <mergeCell ref="A130:B130"/>
    <mergeCell ref="C130:H130"/>
    <mergeCell ref="J130:L130"/>
    <mergeCell ref="M130:O130"/>
    <mergeCell ref="P130:R130"/>
    <mergeCell ref="S130:U130"/>
    <mergeCell ref="V130:X130"/>
    <mergeCell ref="Y130:AA130"/>
    <mergeCell ref="AB130:AD130"/>
    <mergeCell ref="AE130:AG130"/>
    <mergeCell ref="AH130:AJ130"/>
    <mergeCell ref="A129:B129"/>
    <mergeCell ref="C129:H129"/>
    <mergeCell ref="J129:L129"/>
    <mergeCell ref="M129:O129"/>
    <mergeCell ref="P129:R129"/>
    <mergeCell ref="S129:U129"/>
    <mergeCell ref="V129:X129"/>
    <mergeCell ref="Y129:AA129"/>
    <mergeCell ref="AB129:AD129"/>
    <mergeCell ref="AE127:AG127"/>
    <mergeCell ref="AH127:AJ127"/>
    <mergeCell ref="A128:B128"/>
    <mergeCell ref="C128:H128"/>
    <mergeCell ref="J128:L128"/>
    <mergeCell ref="M128:O128"/>
    <mergeCell ref="P128:R128"/>
    <mergeCell ref="S128:U128"/>
    <mergeCell ref="V128:X128"/>
    <mergeCell ref="Y128:AA128"/>
    <mergeCell ref="AB128:AD128"/>
    <mergeCell ref="AE128:AG128"/>
    <mergeCell ref="AH128:AJ128"/>
    <mergeCell ref="A127:B127"/>
    <mergeCell ref="C127:H127"/>
    <mergeCell ref="J127:L127"/>
    <mergeCell ref="M127:O127"/>
    <mergeCell ref="P127:R127"/>
    <mergeCell ref="S127:U127"/>
    <mergeCell ref="V127:X127"/>
    <mergeCell ref="Y127:AA127"/>
    <mergeCell ref="AB127:AD127"/>
    <mergeCell ref="AE125:AG125"/>
    <mergeCell ref="AH125:AJ125"/>
    <mergeCell ref="A126:B126"/>
    <mergeCell ref="C126:H126"/>
    <mergeCell ref="J126:L126"/>
    <mergeCell ref="M126:O126"/>
    <mergeCell ref="P126:R126"/>
    <mergeCell ref="S126:U126"/>
    <mergeCell ref="V126:X126"/>
    <mergeCell ref="Y126:AA126"/>
    <mergeCell ref="AB126:AD126"/>
    <mergeCell ref="AE126:AG126"/>
    <mergeCell ref="AH126:AJ126"/>
    <mergeCell ref="A125:B125"/>
    <mergeCell ref="C125:H125"/>
    <mergeCell ref="J125:L125"/>
    <mergeCell ref="M125:O125"/>
    <mergeCell ref="P125:R125"/>
    <mergeCell ref="S125:U125"/>
    <mergeCell ref="V125:X125"/>
    <mergeCell ref="Y125:AA125"/>
    <mergeCell ref="AB125:AD125"/>
    <mergeCell ref="AE123:AG123"/>
    <mergeCell ref="AH123:AJ123"/>
    <mergeCell ref="A124:B124"/>
    <mergeCell ref="C124:H124"/>
    <mergeCell ref="J124:L124"/>
    <mergeCell ref="M124:O124"/>
    <mergeCell ref="P124:R124"/>
    <mergeCell ref="S124:U124"/>
    <mergeCell ref="V124:X124"/>
    <mergeCell ref="Y124:AA124"/>
    <mergeCell ref="AB124:AD124"/>
    <mergeCell ref="AE124:AG124"/>
    <mergeCell ref="AH124:AJ124"/>
    <mergeCell ref="A123:B123"/>
    <mergeCell ref="C123:H123"/>
    <mergeCell ref="J123:L123"/>
    <mergeCell ref="M123:O123"/>
    <mergeCell ref="P123:R123"/>
    <mergeCell ref="S123:U123"/>
    <mergeCell ref="V123:X123"/>
    <mergeCell ref="Y123:AA123"/>
    <mergeCell ref="AB123:AD123"/>
    <mergeCell ref="AE121:AG121"/>
    <mergeCell ref="AH121:AJ121"/>
    <mergeCell ref="A122:B122"/>
    <mergeCell ref="C122:H122"/>
    <mergeCell ref="J122:L122"/>
    <mergeCell ref="M122:O122"/>
    <mergeCell ref="P122:R122"/>
    <mergeCell ref="S122:U122"/>
    <mergeCell ref="V122:X122"/>
    <mergeCell ref="Y122:AA122"/>
    <mergeCell ref="AB122:AD122"/>
    <mergeCell ref="AE122:AG122"/>
    <mergeCell ref="AH122:AJ122"/>
    <mergeCell ref="A121:B121"/>
    <mergeCell ref="C121:H121"/>
    <mergeCell ref="J121:L121"/>
    <mergeCell ref="M121:O121"/>
    <mergeCell ref="P121:R121"/>
    <mergeCell ref="S121:U121"/>
    <mergeCell ref="V121:X121"/>
    <mergeCell ref="Y121:AA121"/>
    <mergeCell ref="AB121:AD121"/>
    <mergeCell ref="AE119:AG119"/>
    <mergeCell ref="AH119:AJ119"/>
    <mergeCell ref="A120:B120"/>
    <mergeCell ref="C120:H120"/>
    <mergeCell ref="J120:L120"/>
    <mergeCell ref="M120:O120"/>
    <mergeCell ref="P120:R120"/>
    <mergeCell ref="S120:U120"/>
    <mergeCell ref="V120:X120"/>
    <mergeCell ref="Y120:AA120"/>
    <mergeCell ref="AB120:AD120"/>
    <mergeCell ref="AE120:AG120"/>
    <mergeCell ref="AH120:AJ120"/>
    <mergeCell ref="A119:B119"/>
    <mergeCell ref="C119:H119"/>
    <mergeCell ref="J119:L119"/>
    <mergeCell ref="M119:O119"/>
    <mergeCell ref="P119:R119"/>
    <mergeCell ref="S119:U119"/>
    <mergeCell ref="V119:X119"/>
    <mergeCell ref="Y119:AA119"/>
    <mergeCell ref="AB119:AD119"/>
    <mergeCell ref="AE116:AG116"/>
    <mergeCell ref="AH116:AJ116"/>
    <mergeCell ref="A117:B117"/>
    <mergeCell ref="C117:H117"/>
    <mergeCell ref="J117:L117"/>
    <mergeCell ref="M117:O117"/>
    <mergeCell ref="P117:R117"/>
    <mergeCell ref="S117:U117"/>
    <mergeCell ref="V117:X117"/>
    <mergeCell ref="Y117:AA117"/>
    <mergeCell ref="AB117:AD117"/>
    <mergeCell ref="AE117:AG117"/>
    <mergeCell ref="AH117:AJ117"/>
    <mergeCell ref="A116:B116"/>
    <mergeCell ref="C116:H116"/>
    <mergeCell ref="J116:L116"/>
    <mergeCell ref="M116:O116"/>
    <mergeCell ref="P116:R116"/>
    <mergeCell ref="S116:U116"/>
    <mergeCell ref="V116:X116"/>
    <mergeCell ref="Y116:AA116"/>
    <mergeCell ref="AB116:AD116"/>
    <mergeCell ref="AE114:AG114"/>
    <mergeCell ref="AH114:AJ114"/>
    <mergeCell ref="A115:B115"/>
    <mergeCell ref="C115:H115"/>
    <mergeCell ref="J115:L115"/>
    <mergeCell ref="M115:O115"/>
    <mergeCell ref="P115:R115"/>
    <mergeCell ref="S115:U115"/>
    <mergeCell ref="V115:X115"/>
    <mergeCell ref="Y115:AA115"/>
    <mergeCell ref="AB115:AD115"/>
    <mergeCell ref="AE115:AG115"/>
    <mergeCell ref="AH115:AJ115"/>
    <mergeCell ref="A114:B114"/>
    <mergeCell ref="C114:H114"/>
    <mergeCell ref="J114:L114"/>
    <mergeCell ref="M114:O114"/>
    <mergeCell ref="P114:R114"/>
    <mergeCell ref="S114:U114"/>
    <mergeCell ref="V114:X114"/>
    <mergeCell ref="Y114:AA114"/>
    <mergeCell ref="AB114:AD114"/>
    <mergeCell ref="Y111:AA111"/>
    <mergeCell ref="AB111:AD111"/>
    <mergeCell ref="AE112:AG112"/>
    <mergeCell ref="AH112:AJ112"/>
    <mergeCell ref="AE113:AG113"/>
    <mergeCell ref="AH113:AJ113"/>
    <mergeCell ref="A112:B112"/>
    <mergeCell ref="C112:H112"/>
    <mergeCell ref="J112:L112"/>
    <mergeCell ref="M112:O112"/>
    <mergeCell ref="P112:R112"/>
    <mergeCell ref="S112:U112"/>
    <mergeCell ref="V112:X112"/>
    <mergeCell ref="Y112:AA112"/>
    <mergeCell ref="AB112:AD112"/>
    <mergeCell ref="A113:B113"/>
    <mergeCell ref="C113:H113"/>
    <mergeCell ref="J113:L113"/>
    <mergeCell ref="M113:O113"/>
    <mergeCell ref="P113:R113"/>
    <mergeCell ref="S113:U113"/>
    <mergeCell ref="V113:X113"/>
    <mergeCell ref="Y113:AA113"/>
    <mergeCell ref="AB113:AD113"/>
    <mergeCell ref="S110:U110"/>
    <mergeCell ref="V110:X110"/>
    <mergeCell ref="Y110:AA110"/>
    <mergeCell ref="AB110:AD110"/>
    <mergeCell ref="AE110:AG110"/>
    <mergeCell ref="AH110:AJ110"/>
    <mergeCell ref="A85:B85"/>
    <mergeCell ref="C85:H85"/>
    <mergeCell ref="J85:L85"/>
    <mergeCell ref="M85:O85"/>
    <mergeCell ref="P85:R85"/>
    <mergeCell ref="S85:U85"/>
    <mergeCell ref="V85:X85"/>
    <mergeCell ref="AH111:AJ111"/>
    <mergeCell ref="A118:B118"/>
    <mergeCell ref="C118:H118"/>
    <mergeCell ref="J118:L118"/>
    <mergeCell ref="M118:O118"/>
    <mergeCell ref="P118:R118"/>
    <mergeCell ref="S118:U118"/>
    <mergeCell ref="V118:X118"/>
    <mergeCell ref="Y118:AA118"/>
    <mergeCell ref="AB118:AD118"/>
    <mergeCell ref="AE118:AG118"/>
    <mergeCell ref="AH118:AJ118"/>
    <mergeCell ref="A111:B111"/>
    <mergeCell ref="C111:H111"/>
    <mergeCell ref="J111:L111"/>
    <mergeCell ref="M111:O111"/>
    <mergeCell ref="P111:R111"/>
    <mergeCell ref="S111:U111"/>
    <mergeCell ref="V111:X111"/>
    <mergeCell ref="M77:O77"/>
    <mergeCell ref="P77:R77"/>
    <mergeCell ref="S77:U77"/>
    <mergeCell ref="V77:X77"/>
    <mergeCell ref="Y77:AA77"/>
    <mergeCell ref="AB77:AD77"/>
    <mergeCell ref="A79:B79"/>
    <mergeCell ref="C79:H79"/>
    <mergeCell ref="J79:L79"/>
    <mergeCell ref="M79:O79"/>
    <mergeCell ref="P79:R79"/>
    <mergeCell ref="S79:U79"/>
    <mergeCell ref="V79:X79"/>
    <mergeCell ref="Y79:AA79"/>
    <mergeCell ref="AB79:AD79"/>
    <mergeCell ref="A83:B83"/>
    <mergeCell ref="P84:R84"/>
    <mergeCell ref="M84:O84"/>
    <mergeCell ref="J84:L84"/>
    <mergeCell ref="C78:H78"/>
    <mergeCell ref="J78:L78"/>
    <mergeCell ref="M78:O78"/>
    <mergeCell ref="P78:R78"/>
    <mergeCell ref="S78:U78"/>
    <mergeCell ref="V78:X78"/>
    <mergeCell ref="J93:L93"/>
    <mergeCell ref="M93:O93"/>
    <mergeCell ref="A95:B95"/>
    <mergeCell ref="C95:H95"/>
    <mergeCell ref="J95:L95"/>
    <mergeCell ref="M95:O95"/>
    <mergeCell ref="A96:B96"/>
    <mergeCell ref="C96:H96"/>
    <mergeCell ref="J96:L96"/>
    <mergeCell ref="M96:O96"/>
    <mergeCell ref="P96:R96"/>
    <mergeCell ref="S96:U96"/>
    <mergeCell ref="S93:U93"/>
    <mergeCell ref="S95:U95"/>
    <mergeCell ref="A97:B97"/>
    <mergeCell ref="C97:H97"/>
    <mergeCell ref="J97:L97"/>
    <mergeCell ref="M97:O97"/>
    <mergeCell ref="S97:U97"/>
    <mergeCell ref="S99:U99"/>
    <mergeCell ref="V99:X99"/>
    <mergeCell ref="Y99:AA99"/>
    <mergeCell ref="AB99:AD99"/>
    <mergeCell ref="A100:B100"/>
    <mergeCell ref="C100:H100"/>
    <mergeCell ref="J100:L100"/>
    <mergeCell ref="M100:O100"/>
    <mergeCell ref="P100:R100"/>
    <mergeCell ref="S100:U100"/>
    <mergeCell ref="V100:X100"/>
    <mergeCell ref="Y100:AA100"/>
    <mergeCell ref="AB100:AD100"/>
    <mergeCell ref="A98:B98"/>
    <mergeCell ref="C98:H98"/>
    <mergeCell ref="J98:L98"/>
    <mergeCell ref="M98:O98"/>
    <mergeCell ref="S98:U98"/>
    <mergeCell ref="V97:X97"/>
    <mergeCell ref="AE97:AG97"/>
    <mergeCell ref="AH97:AJ97"/>
    <mergeCell ref="V98:X98"/>
    <mergeCell ref="Y98:AA98"/>
    <mergeCell ref="AB98:AD98"/>
    <mergeCell ref="AE98:AG98"/>
    <mergeCell ref="AH99:AJ99"/>
    <mergeCell ref="AB75:AD75"/>
    <mergeCell ref="AH84:AJ84"/>
    <mergeCell ref="AE86:AG86"/>
    <mergeCell ref="AH86:AJ86"/>
    <mergeCell ref="AE93:AG93"/>
    <mergeCell ref="AH95:AJ95"/>
    <mergeCell ref="Y97:AA97"/>
    <mergeCell ref="AH98:AJ98"/>
    <mergeCell ref="V80:X80"/>
    <mergeCell ref="V86:X86"/>
    <mergeCell ref="V94:X94"/>
    <mergeCell ref="Y94:AA94"/>
    <mergeCell ref="AB94:AD94"/>
    <mergeCell ref="AE78:AG78"/>
    <mergeCell ref="AH78:AJ78"/>
    <mergeCell ref="V76:X76"/>
    <mergeCell ref="Y76:AA76"/>
    <mergeCell ref="AB76:AD76"/>
    <mergeCell ref="V96:X96"/>
    <mergeCell ref="Y96:AA96"/>
    <mergeCell ref="AB96:AD96"/>
    <mergeCell ref="AE96:AG96"/>
    <mergeCell ref="AH96:AJ96"/>
    <mergeCell ref="Y95:AA95"/>
    <mergeCell ref="AH51:AJ51"/>
    <mergeCell ref="Y51:AA51"/>
    <mergeCell ref="A51:C51"/>
    <mergeCell ref="D51:F51"/>
    <mergeCell ref="G51:I51"/>
    <mergeCell ref="J51:L51"/>
    <mergeCell ref="M51:O51"/>
    <mergeCell ref="P51:R51"/>
    <mergeCell ref="S51:U51"/>
    <mergeCell ref="V51:X51"/>
    <mergeCell ref="AB51:AD51"/>
    <mergeCell ref="AE51:AG51"/>
    <mergeCell ref="C88:H88"/>
    <mergeCell ref="Y80:AA80"/>
    <mergeCell ref="AB80:AD80"/>
    <mergeCell ref="Y86:AA86"/>
    <mergeCell ref="AB86:AD86"/>
    <mergeCell ref="V75:X75"/>
    <mergeCell ref="V81:X81"/>
    <mergeCell ref="V82:X82"/>
    <mergeCell ref="V83:X83"/>
    <mergeCell ref="V84:X84"/>
    <mergeCell ref="AH73:AJ73"/>
    <mergeCell ref="A76:B76"/>
    <mergeCell ref="C76:H76"/>
    <mergeCell ref="J76:L76"/>
    <mergeCell ref="M76:O76"/>
    <mergeCell ref="P76:R76"/>
    <mergeCell ref="S76:U76"/>
    <mergeCell ref="A77:B77"/>
    <mergeCell ref="C77:H77"/>
    <mergeCell ref="J77:L77"/>
    <mergeCell ref="AB95:AD95"/>
    <mergeCell ref="A52:O52"/>
    <mergeCell ref="A53:O53"/>
    <mergeCell ref="A54:O54"/>
    <mergeCell ref="A55:O55"/>
    <mergeCell ref="A56:O56"/>
    <mergeCell ref="A84:B84"/>
    <mergeCell ref="A75:B75"/>
    <mergeCell ref="C75:H75"/>
    <mergeCell ref="A73:AG73"/>
    <mergeCell ref="AE75:AG75"/>
    <mergeCell ref="A81:B81"/>
    <mergeCell ref="C81:H81"/>
    <mergeCell ref="AB81:AD81"/>
    <mergeCell ref="A82:B82"/>
    <mergeCell ref="C82:H82"/>
    <mergeCell ref="AB82:AD82"/>
    <mergeCell ref="AB84:AD84"/>
    <mergeCell ref="Y75:AA75"/>
    <mergeCell ref="V92:X92"/>
    <mergeCell ref="V91:X91"/>
    <mergeCell ref="S89:U89"/>
    <mergeCell ref="S90:U90"/>
    <mergeCell ref="S91:U91"/>
    <mergeCell ref="S92:U92"/>
    <mergeCell ref="V87:X87"/>
    <mergeCell ref="V88:X88"/>
    <mergeCell ref="V89:X89"/>
    <mergeCell ref="V90:X90"/>
    <mergeCell ref="A87:B87"/>
    <mergeCell ref="A88:B88"/>
    <mergeCell ref="P80:R80"/>
    <mergeCell ref="AH75:AJ75"/>
    <mergeCell ref="AE84:AG84"/>
    <mergeCell ref="AE87:AG87"/>
    <mergeCell ref="AH87:AJ87"/>
    <mergeCell ref="AE88:AG88"/>
    <mergeCell ref="AH88:AJ88"/>
    <mergeCell ref="AE89:AG89"/>
    <mergeCell ref="AH89:AJ89"/>
    <mergeCell ref="AE76:AG76"/>
    <mergeCell ref="AH76:AJ76"/>
    <mergeCell ref="AE77:AG77"/>
    <mergeCell ref="AH77:AJ77"/>
    <mergeCell ref="AE79:AG79"/>
    <mergeCell ref="AH79:AJ79"/>
    <mergeCell ref="AE85:AG85"/>
    <mergeCell ref="AH85:AJ85"/>
    <mergeCell ref="Y87:AA87"/>
    <mergeCell ref="Y88:AA88"/>
    <mergeCell ref="Y89:AA89"/>
    <mergeCell ref="Y82:AA82"/>
    <mergeCell ref="Y81:AA81"/>
    <mergeCell ref="AB83:AD83"/>
    <mergeCell ref="AB87:AD87"/>
    <mergeCell ref="AB88:AD88"/>
    <mergeCell ref="AB89:AD89"/>
    <mergeCell ref="Y85:AA85"/>
    <mergeCell ref="AB85:AD85"/>
    <mergeCell ref="Y84:AA84"/>
    <mergeCell ref="Y83:AA83"/>
    <mergeCell ref="Y78:AA78"/>
    <mergeCell ref="AB78:AD78"/>
    <mergeCell ref="AH91:AJ91"/>
    <mergeCell ref="AH92:AJ92"/>
    <mergeCell ref="AE81:AG81"/>
    <mergeCell ref="AH81:AJ81"/>
    <mergeCell ref="AE82:AG82"/>
    <mergeCell ref="AH82:AJ82"/>
    <mergeCell ref="AH83:AJ83"/>
    <mergeCell ref="AH80:AJ80"/>
    <mergeCell ref="AH104:AJ104"/>
    <mergeCell ref="AE99:AG99"/>
    <mergeCell ref="AE100:AG100"/>
    <mergeCell ref="AH100:AJ100"/>
    <mergeCell ref="AE90:AG90"/>
    <mergeCell ref="AE83:AG83"/>
    <mergeCell ref="AE80:AG80"/>
    <mergeCell ref="AE94:AG94"/>
    <mergeCell ref="AH94:AJ94"/>
    <mergeCell ref="AH90:AJ90"/>
    <mergeCell ref="AE102:AG102"/>
    <mergeCell ref="AH102:AJ102"/>
    <mergeCell ref="AH93:AJ93"/>
    <mergeCell ref="AE101:AG101"/>
    <mergeCell ref="AH101:AJ101"/>
    <mergeCell ref="M86:O86"/>
    <mergeCell ref="A91:B91"/>
    <mergeCell ref="C91:H91"/>
    <mergeCell ref="AE91:AG91"/>
    <mergeCell ref="A92:B92"/>
    <mergeCell ref="C92:H92"/>
    <mergeCell ref="AE92:AG92"/>
    <mergeCell ref="Y103:AA103"/>
    <mergeCell ref="Y104:AA104"/>
    <mergeCell ref="AE95:AG95"/>
    <mergeCell ref="AB97:AD97"/>
    <mergeCell ref="AB91:AD91"/>
    <mergeCell ref="AB92:AD92"/>
    <mergeCell ref="Y91:AA91"/>
    <mergeCell ref="Y92:AA92"/>
    <mergeCell ref="J91:L91"/>
    <mergeCell ref="P91:R91"/>
    <mergeCell ref="P92:R92"/>
    <mergeCell ref="P93:R93"/>
    <mergeCell ref="P95:R95"/>
    <mergeCell ref="P97:R97"/>
    <mergeCell ref="P98:R98"/>
    <mergeCell ref="J92:L92"/>
    <mergeCell ref="S94:U94"/>
    <mergeCell ref="AE104:AG104"/>
    <mergeCell ref="Y90:AA90"/>
    <mergeCell ref="AB90:AD90"/>
    <mergeCell ref="V93:X93"/>
    <mergeCell ref="Y93:AA93"/>
    <mergeCell ref="AB93:AD93"/>
    <mergeCell ref="V95:X95"/>
    <mergeCell ref="M88:O88"/>
    <mergeCell ref="S75:U75"/>
    <mergeCell ref="S81:U81"/>
    <mergeCell ref="S82:U82"/>
    <mergeCell ref="S83:U83"/>
    <mergeCell ref="S84:U84"/>
    <mergeCell ref="S86:U86"/>
    <mergeCell ref="S87:U87"/>
    <mergeCell ref="S88:U88"/>
    <mergeCell ref="S80:U80"/>
    <mergeCell ref="P86:R86"/>
    <mergeCell ref="P83:R83"/>
    <mergeCell ref="M83:O83"/>
    <mergeCell ref="J86:L86"/>
    <mergeCell ref="A86:B86"/>
    <mergeCell ref="C86:H86"/>
    <mergeCell ref="C84:H84"/>
    <mergeCell ref="J75:L75"/>
    <mergeCell ref="J81:L81"/>
    <mergeCell ref="J82:L82"/>
    <mergeCell ref="J83:L83"/>
    <mergeCell ref="C83:H83"/>
    <mergeCell ref="P82:R82"/>
    <mergeCell ref="P81:R81"/>
    <mergeCell ref="P75:R75"/>
    <mergeCell ref="M75:O75"/>
    <mergeCell ref="M81:O81"/>
    <mergeCell ref="M82:O82"/>
    <mergeCell ref="A80:B80"/>
    <mergeCell ref="C80:H80"/>
    <mergeCell ref="J80:L80"/>
    <mergeCell ref="M80:O80"/>
    <mergeCell ref="A78:B78"/>
    <mergeCell ref="M110:O110"/>
    <mergeCell ref="P110:R110"/>
    <mergeCell ref="M89:O89"/>
    <mergeCell ref="M90:O90"/>
    <mergeCell ref="M91:O91"/>
    <mergeCell ref="M92:O92"/>
    <mergeCell ref="P87:R87"/>
    <mergeCell ref="P88:R88"/>
    <mergeCell ref="P89:R89"/>
    <mergeCell ref="A94:B94"/>
    <mergeCell ref="C94:H94"/>
    <mergeCell ref="J94:L94"/>
    <mergeCell ref="M94:O94"/>
    <mergeCell ref="P94:R94"/>
    <mergeCell ref="A89:B89"/>
    <mergeCell ref="A90:B90"/>
    <mergeCell ref="C87:H87"/>
    <mergeCell ref="C89:H89"/>
    <mergeCell ref="C90:H90"/>
    <mergeCell ref="J87:L87"/>
    <mergeCell ref="J88:L88"/>
    <mergeCell ref="J89:L89"/>
    <mergeCell ref="J90:L90"/>
    <mergeCell ref="P90:R90"/>
    <mergeCell ref="M87:O87"/>
    <mergeCell ref="A99:B99"/>
    <mergeCell ref="C99:H99"/>
    <mergeCell ref="J99:L99"/>
    <mergeCell ref="M99:O99"/>
    <mergeCell ref="P99:R99"/>
    <mergeCell ref="A93:B93"/>
    <mergeCell ref="C93:H93"/>
    <mergeCell ref="AE171:AG171"/>
    <mergeCell ref="AH171:AJ171"/>
    <mergeCell ref="AB143:AD143"/>
    <mergeCell ref="AE143:AG143"/>
    <mergeCell ref="AH143:AJ143"/>
    <mergeCell ref="A158:B158"/>
    <mergeCell ref="C158:H158"/>
    <mergeCell ref="A101:B101"/>
    <mergeCell ref="C101:H101"/>
    <mergeCell ref="J101:L101"/>
    <mergeCell ref="M101:O101"/>
    <mergeCell ref="P101:R101"/>
    <mergeCell ref="S101:U101"/>
    <mergeCell ref="V101:X101"/>
    <mergeCell ref="Y101:AA101"/>
    <mergeCell ref="AB101:AD101"/>
    <mergeCell ref="AB104:AD104"/>
    <mergeCell ref="A102:B102"/>
    <mergeCell ref="C102:H102"/>
    <mergeCell ref="J102:L102"/>
    <mergeCell ref="M102:O102"/>
    <mergeCell ref="P102:R102"/>
    <mergeCell ref="S102:U102"/>
    <mergeCell ref="V102:X102"/>
    <mergeCell ref="Y102:AA102"/>
    <mergeCell ref="AB102:AD102"/>
    <mergeCell ref="AE111:AG111"/>
    <mergeCell ref="A108:AG108"/>
    <mergeCell ref="AH108:AJ108"/>
    <mergeCell ref="A110:B110"/>
    <mergeCell ref="C110:H110"/>
    <mergeCell ref="J110:L110"/>
    <mergeCell ref="AE159:AG159"/>
    <mergeCell ref="AH159:AJ159"/>
    <mergeCell ref="AE160:AG160"/>
    <mergeCell ref="AH160:AJ160"/>
    <mergeCell ref="AE161:AG161"/>
    <mergeCell ref="AH161:AJ161"/>
    <mergeCell ref="AE162:AG162"/>
    <mergeCell ref="AH162:AJ162"/>
    <mergeCell ref="AE163:AG163"/>
    <mergeCell ref="AH163:AJ163"/>
    <mergeCell ref="AE164:AG164"/>
    <mergeCell ref="AH164:AJ164"/>
    <mergeCell ref="AE165:AG165"/>
    <mergeCell ref="AE167:AG167"/>
    <mergeCell ref="AH167:AJ167"/>
    <mergeCell ref="AE169:AG169"/>
    <mergeCell ref="AH169:AJ169"/>
    <mergeCell ref="AH165:AJ165"/>
    <mergeCell ref="AE166:AG166"/>
    <mergeCell ref="AH166:AJ166"/>
    <mergeCell ref="AB184:AD184"/>
    <mergeCell ref="AE180:AG180"/>
    <mergeCell ref="AH180:AJ180"/>
    <mergeCell ref="A175:B175"/>
    <mergeCell ref="C175:H175"/>
    <mergeCell ref="J175:L175"/>
    <mergeCell ref="M175:O175"/>
    <mergeCell ref="P175:R175"/>
    <mergeCell ref="S175:U175"/>
    <mergeCell ref="V175:X175"/>
    <mergeCell ref="Y175:AA175"/>
    <mergeCell ref="AB175:AD175"/>
    <mergeCell ref="A180:B180"/>
    <mergeCell ref="C180:H180"/>
    <mergeCell ref="J180:L180"/>
    <mergeCell ref="M180:O180"/>
    <mergeCell ref="P180:R180"/>
    <mergeCell ref="S180:U180"/>
    <mergeCell ref="V180:X180"/>
    <mergeCell ref="Y180:AA180"/>
    <mergeCell ref="AB180:AD180"/>
    <mergeCell ref="A179:B179"/>
    <mergeCell ref="C179:H179"/>
    <mergeCell ref="J179:L179"/>
    <mergeCell ref="M179:O179"/>
    <mergeCell ref="AE175:AG175"/>
    <mergeCell ref="AH175:AJ175"/>
    <mergeCell ref="AE192:AG192"/>
    <mergeCell ref="AH192:AJ192"/>
    <mergeCell ref="A192:B192"/>
    <mergeCell ref="C192:H192"/>
    <mergeCell ref="J192:L192"/>
    <mergeCell ref="M192:O192"/>
    <mergeCell ref="P192:R192"/>
    <mergeCell ref="S192:U192"/>
    <mergeCell ref="V192:X192"/>
    <mergeCell ref="Y192:AA192"/>
    <mergeCell ref="AB192:AD192"/>
    <mergeCell ref="AE184:AG184"/>
    <mergeCell ref="AH184:AJ184"/>
    <mergeCell ref="A188:B188"/>
    <mergeCell ref="C188:H188"/>
    <mergeCell ref="J188:L188"/>
    <mergeCell ref="M188:O188"/>
    <mergeCell ref="P188:R188"/>
    <mergeCell ref="S188:U188"/>
    <mergeCell ref="V188:X188"/>
    <mergeCell ref="Y188:AA188"/>
    <mergeCell ref="AB188:AD188"/>
    <mergeCell ref="AE188:AG188"/>
    <mergeCell ref="AH188:AJ188"/>
    <mergeCell ref="A184:B184"/>
    <mergeCell ref="C184:H184"/>
    <mergeCell ref="J184:L184"/>
    <mergeCell ref="M184:O184"/>
    <mergeCell ref="P184:R184"/>
    <mergeCell ref="S184:U184"/>
    <mergeCell ref="V184:X184"/>
    <mergeCell ref="Y184:AA184"/>
    <mergeCell ref="A141:AJ141"/>
    <mergeCell ref="A157:AJ157"/>
    <mergeCell ref="A145:B145"/>
    <mergeCell ref="C145:H145"/>
    <mergeCell ref="J145:L145"/>
    <mergeCell ref="M145:O145"/>
    <mergeCell ref="P145:R145"/>
    <mergeCell ref="S145:U145"/>
    <mergeCell ref="V145:X145"/>
    <mergeCell ref="Y145:AA145"/>
    <mergeCell ref="AB145:AD145"/>
    <mergeCell ref="AE142:AG142"/>
    <mergeCell ref="AH142:AJ142"/>
    <mergeCell ref="A142:B142"/>
    <mergeCell ref="C142:H142"/>
    <mergeCell ref="J142:L142"/>
    <mergeCell ref="M142:O142"/>
    <mergeCell ref="P142:R142"/>
    <mergeCell ref="S142:U142"/>
    <mergeCell ref="V142:X142"/>
    <mergeCell ref="Y142:AA142"/>
    <mergeCell ref="AB142:AD142"/>
    <mergeCell ref="A143:B143"/>
    <mergeCell ref="C143:H143"/>
    <mergeCell ref="J143:L143"/>
    <mergeCell ref="M143:O143"/>
    <mergeCell ref="P143:R143"/>
    <mergeCell ref="S143:U143"/>
    <mergeCell ref="V143:X143"/>
    <mergeCell ref="Y143:AA143"/>
    <mergeCell ref="AE146:AG146"/>
    <mergeCell ref="AH146:AJ146"/>
    <mergeCell ref="AE147:AG147"/>
    <mergeCell ref="AH147:AJ147"/>
    <mergeCell ref="A146:B146"/>
    <mergeCell ref="C146:H146"/>
    <mergeCell ref="J146:L146"/>
    <mergeCell ref="M146:O146"/>
    <mergeCell ref="P146:R146"/>
    <mergeCell ref="S146:U146"/>
    <mergeCell ref="V146:X146"/>
    <mergeCell ref="Y146:AA146"/>
    <mergeCell ref="AB146:AD146"/>
    <mergeCell ref="AE148:AG148"/>
    <mergeCell ref="AH148:AJ148"/>
    <mergeCell ref="A148:B148"/>
    <mergeCell ref="C148:H148"/>
    <mergeCell ref="J148:L148"/>
    <mergeCell ref="M148:O148"/>
    <mergeCell ref="P148:R148"/>
    <mergeCell ref="S148:U148"/>
    <mergeCell ref="V148:X148"/>
    <mergeCell ref="Y148:AA148"/>
    <mergeCell ref="AB148:AD148"/>
    <mergeCell ref="A161:B161"/>
    <mergeCell ref="C161:H161"/>
    <mergeCell ref="J161:L161"/>
    <mergeCell ref="M161:O161"/>
    <mergeCell ref="P161:R161"/>
    <mergeCell ref="S161:U161"/>
    <mergeCell ref="V161:X161"/>
    <mergeCell ref="Y161:AA161"/>
    <mergeCell ref="AB161:AD161"/>
    <mergeCell ref="A160:B160"/>
    <mergeCell ref="C160:H160"/>
    <mergeCell ref="J160:L160"/>
    <mergeCell ref="M160:O160"/>
    <mergeCell ref="P160:R160"/>
    <mergeCell ref="S160:U160"/>
    <mergeCell ref="V160:X160"/>
    <mergeCell ref="Y160:AA160"/>
    <mergeCell ref="AB160:AD160"/>
    <mergeCell ref="AE149:AG149"/>
    <mergeCell ref="AH149:AJ149"/>
    <mergeCell ref="A150:B150"/>
    <mergeCell ref="C150:H150"/>
    <mergeCell ref="J150:L150"/>
    <mergeCell ref="M150:O150"/>
    <mergeCell ref="P150:R150"/>
    <mergeCell ref="S150:U150"/>
    <mergeCell ref="V150:X150"/>
    <mergeCell ref="Y150:AA150"/>
    <mergeCell ref="AB150:AD150"/>
    <mergeCell ref="AE150:AG150"/>
    <mergeCell ref="AH150:AJ150"/>
    <mergeCell ref="A149:B149"/>
    <mergeCell ref="C149:H149"/>
    <mergeCell ref="J149:L149"/>
    <mergeCell ref="M149:O149"/>
    <mergeCell ref="P149:R149"/>
    <mergeCell ref="S149:U149"/>
    <mergeCell ref="V149:X149"/>
    <mergeCell ref="Y149:AA149"/>
    <mergeCell ref="AB149:AD149"/>
    <mergeCell ref="A151:B151"/>
    <mergeCell ref="C151:H151"/>
    <mergeCell ref="J151:L151"/>
    <mergeCell ref="M151:O151"/>
    <mergeCell ref="P151:R151"/>
    <mergeCell ref="S151:U151"/>
    <mergeCell ref="V151:X151"/>
    <mergeCell ref="Y151:AA151"/>
    <mergeCell ref="AB151:AD151"/>
    <mergeCell ref="P179:R179"/>
    <mergeCell ref="S179:U179"/>
    <mergeCell ref="V179:X179"/>
    <mergeCell ref="Y179:AA179"/>
    <mergeCell ref="AB179:AD179"/>
    <mergeCell ref="AE179:AG179"/>
    <mergeCell ref="AH179:AJ179"/>
    <mergeCell ref="AE153:AG153"/>
    <mergeCell ref="AH153:AJ153"/>
    <mergeCell ref="A154:B154"/>
    <mergeCell ref="C154:H154"/>
    <mergeCell ref="J154:L154"/>
    <mergeCell ref="M154:O154"/>
    <mergeCell ref="P154:R154"/>
    <mergeCell ref="S154:U154"/>
    <mergeCell ref="V154:X154"/>
    <mergeCell ref="Y154:AA154"/>
    <mergeCell ref="J158:L158"/>
    <mergeCell ref="M158:O158"/>
    <mergeCell ref="P158:R158"/>
    <mergeCell ref="AE151:AG151"/>
    <mergeCell ref="AH151:AJ151"/>
    <mergeCell ref="A152:B152"/>
    <mergeCell ref="AB154:AD154"/>
    <mergeCell ref="AE154:AG154"/>
    <mergeCell ref="AH154:AJ154"/>
    <mergeCell ref="A153:B153"/>
    <mergeCell ref="C153:H153"/>
    <mergeCell ref="J153:L153"/>
    <mergeCell ref="M153:O153"/>
    <mergeCell ref="P153:R153"/>
    <mergeCell ref="S153:U153"/>
    <mergeCell ref="V153:X153"/>
    <mergeCell ref="Y153:AA153"/>
    <mergeCell ref="AB153:AD153"/>
    <mergeCell ref="S158:U158"/>
    <mergeCell ref="V158:X158"/>
    <mergeCell ref="Y158:AA158"/>
    <mergeCell ref="S152:U152"/>
    <mergeCell ref="V152:X152"/>
    <mergeCell ref="Y152:AA152"/>
    <mergeCell ref="AB152:AD152"/>
    <mergeCell ref="AE152:AG152"/>
    <mergeCell ref="AH152:AJ152"/>
    <mergeCell ref="C152:H152"/>
    <mergeCell ref="J152:L152"/>
    <mergeCell ref="M152:O152"/>
    <mergeCell ref="P152:R152"/>
    <mergeCell ref="AE158:AG158"/>
    <mergeCell ref="AH158:AJ158"/>
  </mergeCells>
  <phoneticPr fontId="18" type="noConversion"/>
  <pageMargins left="0" right="0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351"/>
  <sheetViews>
    <sheetView topLeftCell="A36" workbookViewId="0">
      <selection activeCell="I70" sqref="I70:I71"/>
    </sheetView>
  </sheetViews>
  <sheetFormatPr defaultColWidth="17.28515625" defaultRowHeight="15" customHeight="1"/>
  <cols>
    <col min="1" max="1" width="9.140625" bestFit="1" customWidth="1"/>
    <col min="2" max="2" width="24.42578125" customWidth="1"/>
    <col min="3" max="3" width="9.7109375" customWidth="1"/>
    <col min="4" max="5" width="10.28515625" style="6" bestFit="1" customWidth="1"/>
    <col min="6" max="6" width="9.5703125" bestFit="1" customWidth="1"/>
    <col min="7" max="7" width="10.28515625" bestFit="1" customWidth="1"/>
    <col min="8" max="8" width="11.85546875" bestFit="1" customWidth="1"/>
    <col min="9" max="9" width="10.28515625" bestFit="1" customWidth="1"/>
    <col min="10" max="10" width="11" customWidth="1"/>
    <col min="11" max="11" width="11.85546875" bestFit="1" customWidth="1"/>
    <col min="12" max="13" width="10.42578125" customWidth="1"/>
    <col min="14" max="15" width="9.85546875" bestFit="1" customWidth="1"/>
    <col min="16" max="16" width="11.85546875" bestFit="1" customWidth="1"/>
  </cols>
  <sheetData>
    <row r="1" spans="1:256" ht="12.75" customHeight="1">
      <c r="A1" s="65" t="s">
        <v>78</v>
      </c>
      <c r="B1" s="66" t="s">
        <v>79</v>
      </c>
      <c r="C1" s="57" t="s">
        <v>80</v>
      </c>
      <c r="D1" s="67" t="s">
        <v>75</v>
      </c>
      <c r="E1" s="67" t="s">
        <v>76</v>
      </c>
      <c r="F1" s="57" t="s">
        <v>77</v>
      </c>
      <c r="G1" s="57" t="s">
        <v>81</v>
      </c>
      <c r="H1" s="68" t="s">
        <v>82</v>
      </c>
      <c r="I1" s="57" t="s">
        <v>83</v>
      </c>
      <c r="J1" s="57" t="s">
        <v>84</v>
      </c>
      <c r="K1" s="57" t="s">
        <v>85</v>
      </c>
      <c r="L1" s="57" t="s">
        <v>86</v>
      </c>
      <c r="M1" s="68" t="s">
        <v>87</v>
      </c>
      <c r="N1" s="57" t="s">
        <v>88</v>
      </c>
      <c r="O1" s="57" t="s">
        <v>74</v>
      </c>
      <c r="P1" s="57" t="s">
        <v>89</v>
      </c>
    </row>
    <row r="2" spans="1:256" ht="12.75" customHeight="1">
      <c r="A2" s="57" t="s">
        <v>90</v>
      </c>
      <c r="B2" s="62" t="s">
        <v>91</v>
      </c>
      <c r="C2" s="223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>
        <f>SUM(C2:O2)</f>
        <v>0</v>
      </c>
    </row>
    <row r="3" spans="1:256" ht="12.75" hidden="1" customHeight="1">
      <c r="A3" s="57" t="s">
        <v>90</v>
      </c>
      <c r="B3" s="62" t="s">
        <v>92</v>
      </c>
      <c r="C3" s="223">
        <v>5200</v>
      </c>
      <c r="D3" s="56"/>
      <c r="E3" s="56"/>
      <c r="F3" s="59"/>
      <c r="G3" s="56"/>
      <c r="H3" s="59"/>
      <c r="I3" s="59"/>
      <c r="J3" s="59"/>
      <c r="K3" s="59"/>
      <c r="L3" s="59"/>
      <c r="M3" s="59"/>
      <c r="N3" s="59"/>
      <c r="O3" s="59"/>
      <c r="P3" s="58">
        <f t="shared" ref="P3:P10" si="0">SUM(C3:O3)</f>
        <v>5200</v>
      </c>
    </row>
    <row r="4" spans="1:256" ht="12.75" hidden="1" customHeight="1">
      <c r="A4" s="57" t="s">
        <v>90</v>
      </c>
      <c r="B4" s="62" t="s">
        <v>93</v>
      </c>
      <c r="C4" s="223">
        <v>980</v>
      </c>
      <c r="D4" s="56"/>
      <c r="E4" s="56"/>
      <c r="F4" s="59"/>
      <c r="G4" s="56"/>
      <c r="H4" s="59"/>
      <c r="I4" s="59"/>
      <c r="J4" s="59"/>
      <c r="K4" s="59"/>
      <c r="L4" s="59"/>
      <c r="M4" s="59"/>
      <c r="N4" s="59"/>
      <c r="O4" s="59"/>
      <c r="P4" s="58">
        <f t="shared" si="0"/>
        <v>980</v>
      </c>
    </row>
    <row r="5" spans="1:256" ht="12.75" hidden="1" customHeight="1">
      <c r="A5" s="57" t="s">
        <v>90</v>
      </c>
      <c r="B5" s="62" t="s">
        <v>94</v>
      </c>
      <c r="C5" s="223">
        <v>1500.1</v>
      </c>
      <c r="D5" s="56"/>
      <c r="E5" s="56"/>
      <c r="F5" s="59"/>
      <c r="G5" s="56"/>
      <c r="H5" s="59"/>
      <c r="I5" s="59"/>
      <c r="J5" s="59"/>
      <c r="K5" s="59"/>
      <c r="L5" s="59"/>
      <c r="M5" s="59"/>
      <c r="N5" s="59"/>
      <c r="O5" s="59"/>
      <c r="P5" s="58">
        <f>SUM(C5:O5)</f>
        <v>1500.1</v>
      </c>
    </row>
    <row r="6" spans="1:256" ht="12.75" hidden="1">
      <c r="A6" s="57" t="s">
        <v>90</v>
      </c>
      <c r="B6" s="62" t="s">
        <v>95</v>
      </c>
      <c r="C6" s="223">
        <v>1500</v>
      </c>
      <c r="D6" s="56"/>
      <c r="E6" s="56"/>
      <c r="F6" s="59"/>
      <c r="G6" s="56"/>
      <c r="H6" s="59"/>
      <c r="I6" s="59"/>
      <c r="J6" s="59"/>
      <c r="K6" s="59"/>
      <c r="L6" s="59"/>
      <c r="M6" s="59"/>
      <c r="N6" s="59"/>
      <c r="O6" s="59"/>
      <c r="P6" s="58">
        <f t="shared" si="0"/>
        <v>1500</v>
      </c>
    </row>
    <row r="7" spans="1:256" ht="12.75" hidden="1" customHeight="1">
      <c r="A7" s="57" t="s">
        <v>90</v>
      </c>
      <c r="B7" s="62" t="s">
        <v>96</v>
      </c>
      <c r="C7" s="223">
        <v>2400</v>
      </c>
      <c r="D7" s="56"/>
      <c r="E7" s="56"/>
      <c r="F7" s="59"/>
      <c r="G7" s="56"/>
      <c r="H7" s="59"/>
      <c r="I7" s="59"/>
      <c r="J7" s="59"/>
      <c r="K7" s="59"/>
      <c r="L7" s="59"/>
      <c r="M7" s="59"/>
      <c r="N7" s="59"/>
      <c r="O7" s="59"/>
      <c r="P7" s="58">
        <f t="shared" si="0"/>
        <v>2400</v>
      </c>
    </row>
    <row r="8" spans="1:256" ht="12.75" customHeight="1">
      <c r="A8" s="57">
        <v>30</v>
      </c>
      <c r="B8" s="69" t="s">
        <v>97</v>
      </c>
      <c r="C8" s="62"/>
      <c r="D8" s="56"/>
      <c r="E8" s="56"/>
      <c r="F8" s="59"/>
      <c r="G8" s="56"/>
      <c r="H8" s="59"/>
      <c r="I8" s="59"/>
      <c r="J8" s="59"/>
      <c r="K8" s="59"/>
      <c r="L8" s="59"/>
      <c r="M8" s="59"/>
      <c r="N8" s="73"/>
      <c r="O8" s="59"/>
      <c r="P8" s="58">
        <f>SUM(C8:O8)/A8</f>
        <v>0</v>
      </c>
    </row>
    <row r="9" spans="1:256" ht="12.75" customHeight="1">
      <c r="A9" s="684"/>
      <c r="B9" s="685" t="s">
        <v>98</v>
      </c>
      <c r="C9" s="686"/>
      <c r="D9" s="687">
        <v>5859.77</v>
      </c>
      <c r="E9" s="687"/>
      <c r="F9" s="193"/>
      <c r="G9" s="687"/>
      <c r="H9" s="687"/>
      <c r="I9" s="193"/>
      <c r="J9" s="193"/>
      <c r="K9" s="193"/>
      <c r="L9" s="193"/>
      <c r="M9" s="686"/>
      <c r="N9" s="193"/>
      <c r="O9" s="193"/>
      <c r="P9" s="688">
        <f t="shared" si="0"/>
        <v>5859.77</v>
      </c>
    </row>
    <row r="10" spans="1:256" ht="12.75" customHeight="1">
      <c r="A10" s="677"/>
      <c r="B10" s="678" t="s">
        <v>99</v>
      </c>
      <c r="C10" s="679"/>
      <c r="D10" s="680"/>
      <c r="E10" s="680"/>
      <c r="F10" s="681"/>
      <c r="G10" s="680"/>
      <c r="H10" s="681"/>
      <c r="I10" s="681"/>
      <c r="J10" s="681"/>
      <c r="K10" s="681"/>
      <c r="L10" s="681"/>
      <c r="M10" s="681"/>
      <c r="N10" s="681"/>
      <c r="O10" s="681"/>
      <c r="P10" s="682">
        <f t="shared" si="0"/>
        <v>0</v>
      </c>
    </row>
    <row r="11" spans="1:256" ht="12.75" customHeight="1">
      <c r="A11" s="677">
        <v>159</v>
      </c>
      <c r="B11" s="678" t="s">
        <v>100</v>
      </c>
      <c r="C11" s="679"/>
      <c r="D11" s="680"/>
      <c r="E11" s="680"/>
      <c r="F11" s="681"/>
      <c r="G11" s="680"/>
      <c r="H11" s="681"/>
      <c r="I11" s="681">
        <f>1000.92</f>
        <v>1000.92</v>
      </c>
      <c r="J11" s="681"/>
      <c r="K11" s="219"/>
      <c r="L11" s="681"/>
      <c r="M11" s="683"/>
      <c r="N11" s="681"/>
      <c r="O11" s="681"/>
      <c r="P11" s="682">
        <f>SUM(C11:O11)*A11</f>
        <v>159146.28</v>
      </c>
    </row>
    <row r="12" spans="1:256" ht="12.75" customHeight="1">
      <c r="A12" s="677">
        <v>1</v>
      </c>
      <c r="B12" s="678" t="s">
        <v>101</v>
      </c>
      <c r="C12" s="679"/>
      <c r="D12" s="680"/>
      <c r="E12" s="680"/>
      <c r="F12" s="681"/>
      <c r="G12" s="680"/>
      <c r="H12" s="681"/>
      <c r="I12" s="681"/>
      <c r="J12" s="681"/>
      <c r="K12" s="219"/>
      <c r="L12" s="681"/>
      <c r="M12" s="683"/>
      <c r="N12" s="681"/>
      <c r="O12" s="681">
        <v>31152.15</v>
      </c>
      <c r="P12" s="682">
        <f>SUM(C12:O12)*A12</f>
        <v>31152.15</v>
      </c>
    </row>
    <row r="13" spans="1:256" s="64" customFormat="1" ht="25.5">
      <c r="A13" s="887">
        <v>2022</v>
      </c>
      <c r="B13" s="887"/>
      <c r="C13" s="887"/>
      <c r="D13" s="887"/>
      <c r="E13" s="887"/>
      <c r="F13" s="887"/>
      <c r="G13" s="887"/>
      <c r="H13" s="887"/>
      <c r="I13" s="887"/>
      <c r="J13" s="887"/>
      <c r="K13" s="887"/>
      <c r="L13" s="887"/>
      <c r="M13" s="887"/>
      <c r="N13" s="887"/>
      <c r="O13" s="887"/>
      <c r="P13" s="887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 s="64" customFormat="1" ht="12.75" customHeight="1">
      <c r="A14" s="302" t="s">
        <v>78</v>
      </c>
      <c r="B14" s="302" t="s">
        <v>102</v>
      </c>
      <c r="C14" s="302" t="s">
        <v>103</v>
      </c>
      <c r="D14" s="656" t="s">
        <v>75</v>
      </c>
      <c r="E14" s="656" t="s">
        <v>76</v>
      </c>
      <c r="F14" s="302" t="s">
        <v>77</v>
      </c>
      <c r="G14" s="302" t="s">
        <v>81</v>
      </c>
      <c r="H14" s="302" t="s">
        <v>82</v>
      </c>
      <c r="I14" s="302" t="s">
        <v>83</v>
      </c>
      <c r="J14" s="302" t="s">
        <v>84</v>
      </c>
      <c r="K14" s="302" t="s">
        <v>85</v>
      </c>
      <c r="L14" s="302" t="s">
        <v>86</v>
      </c>
      <c r="M14" s="302" t="s">
        <v>87</v>
      </c>
      <c r="N14" s="302" t="s">
        <v>88</v>
      </c>
      <c r="O14" s="302" t="s">
        <v>74</v>
      </c>
      <c r="P14" s="302" t="s">
        <v>104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 s="213" customFormat="1" ht="12.75" customHeight="1">
      <c r="A15" s="899" t="s">
        <v>25</v>
      </c>
      <c r="B15" s="900"/>
      <c r="C15" s="900"/>
      <c r="D15" s="900"/>
      <c r="E15" s="900"/>
      <c r="F15" s="900"/>
      <c r="G15" s="900"/>
      <c r="H15" s="900"/>
      <c r="I15" s="900"/>
      <c r="J15" s="900"/>
      <c r="K15" s="900"/>
      <c r="L15" s="900"/>
      <c r="M15" s="900"/>
      <c r="N15" s="900"/>
      <c r="O15" s="900"/>
      <c r="P15" s="901"/>
    </row>
    <row r="16" spans="1:256" s="213" customFormat="1" ht="12.75" customHeight="1">
      <c r="A16" s="243" t="s">
        <v>105</v>
      </c>
      <c r="B16" s="716" t="s">
        <v>106</v>
      </c>
      <c r="C16" s="398"/>
      <c r="D16" s="718">
        <f>50000*2</f>
        <v>100000</v>
      </c>
      <c r="E16" s="245">
        <f>20000*2</f>
        <v>40000</v>
      </c>
      <c r="F16" s="246">
        <f>20000*2+20000*2</f>
        <v>80000</v>
      </c>
      <c r="G16" s="246">
        <f>20000*2+20000*2</f>
        <v>80000</v>
      </c>
      <c r="H16" s="246">
        <f>40000*2</f>
        <v>80000</v>
      </c>
      <c r="I16" s="246">
        <f>80000*2</f>
        <v>160000</v>
      </c>
      <c r="J16" s="244"/>
      <c r="K16" s="246"/>
      <c r="L16" s="244"/>
      <c r="M16" s="246"/>
      <c r="N16" s="247"/>
      <c r="O16" s="247"/>
      <c r="P16" s="246">
        <f>SUM(D16:O16)</f>
        <v>540000</v>
      </c>
    </row>
    <row r="17" spans="1:19" s="409" customFormat="1" ht="12.75" customHeight="1">
      <c r="A17" s="458" t="s">
        <v>105</v>
      </c>
      <c r="B17" s="717" t="s">
        <v>107</v>
      </c>
      <c r="C17" s="464"/>
      <c r="D17" s="719">
        <f>18449.31*2</f>
        <v>36898.620000000003</v>
      </c>
      <c r="E17" s="416">
        <f>7379.73*2</f>
        <v>14759.46</v>
      </c>
      <c r="F17" s="462">
        <f>7460.82*2+7339.17*2</f>
        <v>29599.98</v>
      </c>
      <c r="G17" s="462">
        <f>7339.18*2+7298.63*2</f>
        <v>29275.620000000003</v>
      </c>
      <c r="H17" s="462">
        <f>14475.61*2</f>
        <v>28951.22</v>
      </c>
      <c r="I17" s="462">
        <f>27050.96+29437.81</f>
        <v>56488.770000000004</v>
      </c>
      <c r="J17" s="414"/>
      <c r="K17" s="462"/>
      <c r="L17" s="462"/>
      <c r="M17" s="462"/>
      <c r="N17" s="462"/>
      <c r="O17" s="462"/>
      <c r="P17" s="462">
        <f>SUM(D17:O17)</f>
        <v>195973.66999999998</v>
      </c>
    </row>
    <row r="18" spans="1:19" s="213" customFormat="1" ht="12.75" customHeight="1">
      <c r="A18" s="248"/>
      <c r="B18" s="249"/>
      <c r="C18" s="583"/>
      <c r="D18" s="251"/>
      <c r="E18" s="251"/>
      <c r="F18" s="252"/>
      <c r="G18" s="252"/>
      <c r="H18" s="252"/>
      <c r="I18" s="252"/>
      <c r="J18" s="250"/>
      <c r="K18" s="252"/>
      <c r="L18" s="250"/>
      <c r="M18" s="252"/>
      <c r="N18" s="252"/>
      <c r="O18" s="252"/>
      <c r="P18" s="252"/>
    </row>
    <row r="19" spans="1:19" s="213" customFormat="1" ht="12.75" customHeight="1">
      <c r="A19" s="248" t="s">
        <v>105</v>
      </c>
      <c r="B19" s="838" t="s">
        <v>25</v>
      </c>
      <c r="C19" s="583">
        <f>SUM(C16:C18)</f>
        <v>0</v>
      </c>
      <c r="D19" s="583">
        <f>SUM(D16:D18)</f>
        <v>136898.62</v>
      </c>
      <c r="E19" s="583">
        <f t="shared" ref="E19:P19" si="1">SUM(E16:E18)</f>
        <v>54759.46</v>
      </c>
      <c r="F19" s="583">
        <f t="shared" si="1"/>
        <v>109599.98</v>
      </c>
      <c r="G19" s="583">
        <f t="shared" si="1"/>
        <v>109275.62</v>
      </c>
      <c r="H19" s="583">
        <f t="shared" si="1"/>
        <v>108951.22</v>
      </c>
      <c r="I19" s="583">
        <f t="shared" si="1"/>
        <v>216488.77000000002</v>
      </c>
      <c r="J19" s="583">
        <f t="shared" si="1"/>
        <v>0</v>
      </c>
      <c r="K19" s="583">
        <f t="shared" si="1"/>
        <v>0</v>
      </c>
      <c r="L19" s="583">
        <f t="shared" si="1"/>
        <v>0</v>
      </c>
      <c r="M19" s="583">
        <f t="shared" si="1"/>
        <v>0</v>
      </c>
      <c r="N19" s="583">
        <f t="shared" si="1"/>
        <v>0</v>
      </c>
      <c r="O19" s="583">
        <f t="shared" si="1"/>
        <v>0</v>
      </c>
      <c r="P19" s="583">
        <f>SUM(P16:P18)</f>
        <v>735973.66999999993</v>
      </c>
    </row>
    <row r="20" spans="1:19" s="213" customFormat="1" ht="12.75" customHeight="1">
      <c r="A20" s="248"/>
      <c r="B20" s="838"/>
      <c r="C20" s="250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2"/>
    </row>
    <row r="21" spans="1:19" ht="12.75" customHeight="1">
      <c r="A21" s="80" t="s">
        <v>105</v>
      </c>
      <c r="B21" s="182" t="s">
        <v>108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>
        <f>SUM(D21:O21)</f>
        <v>0</v>
      </c>
    </row>
    <row r="22" spans="1:19" s="409" customFormat="1" ht="12.75" customHeight="1">
      <c r="A22" s="458" t="s">
        <v>105</v>
      </c>
      <c r="B22" s="459" t="s">
        <v>109</v>
      </c>
      <c r="C22" s="416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6">
        <f>SUM(D22:O22)</f>
        <v>0</v>
      </c>
    </row>
    <row r="23" spans="1:19" s="213" customFormat="1" ht="12.75" customHeight="1">
      <c r="A23" s="80" t="s">
        <v>105</v>
      </c>
      <c r="B23" s="182" t="s">
        <v>110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>
        <f>SUM(D23:O23)</f>
        <v>0</v>
      </c>
    </row>
    <row r="24" spans="1:19" s="409" customFormat="1" ht="12.75" customHeight="1">
      <c r="A24" s="458" t="s">
        <v>105</v>
      </c>
      <c r="B24" s="459" t="s">
        <v>111</v>
      </c>
      <c r="C24" s="416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>
        <f>SUM(D24:O24)</f>
        <v>0</v>
      </c>
    </row>
    <row r="25" spans="1:19" s="213" customFormat="1" ht="12.75" customHeight="1">
      <c r="A25" s="836"/>
      <c r="B25" s="181"/>
      <c r="C25" s="82"/>
      <c r="D25" s="241"/>
      <c r="E25" s="241"/>
      <c r="F25" s="241"/>
      <c r="G25" s="82"/>
      <c r="H25" s="82"/>
      <c r="I25" s="82"/>
      <c r="J25" s="82"/>
      <c r="K25" s="82"/>
      <c r="L25" s="82"/>
      <c r="M25" s="82"/>
      <c r="N25" s="82"/>
      <c r="O25" s="82"/>
      <c r="P25" s="82"/>
    </row>
    <row r="26" spans="1:19" s="213" customFormat="1" ht="12.75" customHeight="1">
      <c r="A26" s="836"/>
      <c r="B26" s="51" t="s">
        <v>112</v>
      </c>
      <c r="C26" s="82"/>
      <c r="D26" s="82">
        <f>SUM(D21:D25)</f>
        <v>0</v>
      </c>
      <c r="E26" s="82">
        <f t="shared" ref="E26:P26" si="2">SUM(E21:E25)</f>
        <v>0</v>
      </c>
      <c r="F26" s="82">
        <f t="shared" si="2"/>
        <v>0</v>
      </c>
      <c r="G26" s="82">
        <f t="shared" si="2"/>
        <v>0</v>
      </c>
      <c r="H26" s="82">
        <f t="shared" si="2"/>
        <v>0</v>
      </c>
      <c r="I26" s="82">
        <f t="shared" si="2"/>
        <v>0</v>
      </c>
      <c r="J26" s="82">
        <f t="shared" si="2"/>
        <v>0</v>
      </c>
      <c r="K26" s="82">
        <f t="shared" si="2"/>
        <v>0</v>
      </c>
      <c r="L26" s="82">
        <f t="shared" si="2"/>
        <v>0</v>
      </c>
      <c r="M26" s="82">
        <f t="shared" si="2"/>
        <v>0</v>
      </c>
      <c r="N26" s="82">
        <f t="shared" si="2"/>
        <v>0</v>
      </c>
      <c r="O26" s="82">
        <f t="shared" si="2"/>
        <v>0</v>
      </c>
      <c r="P26" s="82">
        <f t="shared" si="2"/>
        <v>0</v>
      </c>
    </row>
    <row r="27" spans="1:19" s="213" customFormat="1" ht="12.75" customHeight="1">
      <c r="A27" s="836"/>
      <c r="B27" s="181"/>
      <c r="C27" s="82"/>
      <c r="D27" s="241"/>
      <c r="E27" s="241"/>
      <c r="F27" s="241"/>
      <c r="G27" s="82"/>
      <c r="H27" s="82"/>
      <c r="I27" s="82"/>
      <c r="J27" s="82"/>
      <c r="K27" s="82"/>
      <c r="L27" s="82"/>
      <c r="M27" s="82"/>
      <c r="N27" s="82"/>
      <c r="O27" s="82"/>
      <c r="P27" s="82"/>
    </row>
    <row r="28" spans="1:19" s="693" customFormat="1" ht="12.75" customHeight="1">
      <c r="A28" s="927">
        <v>76</v>
      </c>
      <c r="B28" s="722" t="s">
        <v>113</v>
      </c>
      <c r="C28" s="267"/>
      <c r="D28" s="756">
        <v>1138.98</v>
      </c>
      <c r="E28" s="695"/>
      <c r="F28" s="695"/>
      <c r="G28" s="696"/>
      <c r="H28" s="696"/>
      <c r="I28" s="696"/>
      <c r="J28" s="696"/>
      <c r="K28" s="695"/>
      <c r="L28" s="695"/>
      <c r="M28" s="695"/>
      <c r="N28" s="721"/>
      <c r="O28" s="692"/>
      <c r="P28" s="279">
        <f>SUM(C28:O28)</f>
        <v>1138.98</v>
      </c>
    </row>
    <row r="29" spans="1:19" s="693" customFormat="1" ht="12.75" customHeight="1">
      <c r="A29" s="928"/>
      <c r="B29" s="723" t="s">
        <v>114</v>
      </c>
      <c r="C29" s="267"/>
      <c r="D29" s="756">
        <v>61.02</v>
      </c>
      <c r="E29" s="695"/>
      <c r="F29" s="695"/>
      <c r="G29" s="696"/>
      <c r="H29" s="696"/>
      <c r="I29" s="696"/>
      <c r="J29" s="696"/>
      <c r="K29" s="695"/>
      <c r="L29" s="695"/>
      <c r="M29" s="695"/>
      <c r="N29" s="721"/>
      <c r="O29" s="692"/>
      <c r="P29" s="279">
        <f>SUM(C29:O29)</f>
        <v>61.02</v>
      </c>
    </row>
    <row r="30" spans="1:19" s="693" customFormat="1" ht="12.75" customHeight="1">
      <c r="A30" s="927">
        <v>77</v>
      </c>
      <c r="B30" s="694" t="s">
        <v>115</v>
      </c>
      <c r="C30" s="724"/>
      <c r="D30" s="741">
        <v>4555.9187709358694</v>
      </c>
      <c r="E30" s="277"/>
      <c r="F30" s="725"/>
      <c r="G30" s="695"/>
      <c r="H30" s="695"/>
      <c r="I30" s="696"/>
      <c r="J30" s="696"/>
      <c r="K30" s="696"/>
      <c r="L30" s="696"/>
      <c r="M30" s="695"/>
      <c r="N30" s="695"/>
      <c r="O30" s="695"/>
      <c r="P30" s="279">
        <f>SUM(C30:O30)</f>
        <v>4555.9187709358694</v>
      </c>
      <c r="R30" s="726">
        <f>SUM(P30:Q30)</f>
        <v>4555.9187709358694</v>
      </c>
    </row>
    <row r="31" spans="1:19" s="693" customFormat="1" ht="12.75" customHeight="1">
      <c r="A31" s="928"/>
      <c r="B31" s="828" t="s">
        <v>116</v>
      </c>
      <c r="C31" s="724"/>
      <c r="D31" s="741">
        <v>244.08240429067266</v>
      </c>
      <c r="E31" s="277"/>
      <c r="F31" s="725"/>
      <c r="G31" s="695"/>
      <c r="H31" s="695"/>
      <c r="I31" s="696"/>
      <c r="J31" s="696"/>
      <c r="K31" s="696"/>
      <c r="L31" s="696"/>
      <c r="M31" s="695"/>
      <c r="N31" s="695"/>
      <c r="O31" s="695"/>
      <c r="P31" s="279">
        <f>SUM(C31:O31)</f>
        <v>244.08240429067266</v>
      </c>
      <c r="R31" s="726">
        <f>SUM(P31:Q31)</f>
        <v>244.08240429067266</v>
      </c>
      <c r="S31" s="726">
        <f>SUM(R30:R31)</f>
        <v>4800.0011752265418</v>
      </c>
    </row>
    <row r="32" spans="1:19" s="693" customFormat="1" ht="12.75" customHeight="1">
      <c r="A32" s="927">
        <v>2178</v>
      </c>
      <c r="B32" s="694" t="s">
        <v>117</v>
      </c>
      <c r="C32" s="724"/>
      <c r="D32" s="277">
        <v>1804.36</v>
      </c>
      <c r="E32" s="277">
        <v>1912.62</v>
      </c>
      <c r="F32" s="802">
        <v>2027.38</v>
      </c>
      <c r="G32" s="802">
        <v>2149.02</v>
      </c>
      <c r="H32" s="802">
        <v>2277.96</v>
      </c>
      <c r="I32" s="802"/>
      <c r="J32" s="802"/>
      <c r="K32" s="802"/>
      <c r="L32" s="802"/>
      <c r="M32" s="802"/>
      <c r="N32" s="802"/>
      <c r="O32" s="802"/>
      <c r="P32" s="279">
        <f>SUM(C32:O32)</f>
        <v>10171.34</v>
      </c>
      <c r="R32" s="726">
        <f>SUM(P32:Q32)</f>
        <v>10171.34</v>
      </c>
    </row>
    <row r="33" spans="1:256" s="693" customFormat="1" ht="12.75" customHeight="1">
      <c r="A33" s="928"/>
      <c r="B33" s="828" t="s">
        <v>118</v>
      </c>
      <c r="C33" s="724"/>
      <c r="D33" s="277">
        <v>595.64</v>
      </c>
      <c r="E33" s="277">
        <v>487.38</v>
      </c>
      <c r="F33" s="802">
        <v>372.62</v>
      </c>
      <c r="G33" s="802">
        <v>250.98</v>
      </c>
      <c r="H33" s="802">
        <v>122.04</v>
      </c>
      <c r="I33" s="802"/>
      <c r="J33" s="802"/>
      <c r="K33" s="802"/>
      <c r="L33" s="802"/>
      <c r="M33" s="802"/>
      <c r="N33" s="802"/>
      <c r="O33" s="802"/>
      <c r="P33" s="279">
        <f>SUM(C33:O33)</f>
        <v>1828.6599999999999</v>
      </c>
      <c r="R33" s="726">
        <f>SUM(P33:Q33)</f>
        <v>1828.6599999999999</v>
      </c>
      <c r="S33" s="726">
        <f>SUM(R32:R33)</f>
        <v>12000</v>
      </c>
    </row>
    <row r="34" spans="1:256" s="214" customFormat="1" ht="12.75" customHeight="1">
      <c r="A34" s="254"/>
      <c r="B34" s="255"/>
      <c r="C34" s="256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737" t="s">
        <v>119</v>
      </c>
      <c r="P34" s="258">
        <f>P28+P30+P32</f>
        <v>15866.23877093587</v>
      </c>
    </row>
    <row r="35" spans="1:256" s="214" customFormat="1" ht="12.75" customHeight="1">
      <c r="A35" s="254"/>
      <c r="B35" s="254" t="s">
        <v>120</v>
      </c>
      <c r="C35" s="256"/>
      <c r="D35" s="257">
        <f>SUM(D28:D34)</f>
        <v>8400.0011752265418</v>
      </c>
      <c r="E35" s="257">
        <f>SUM(E28:E34)</f>
        <v>2400</v>
      </c>
      <c r="F35" s="257">
        <f>SUM(F28:F34)</f>
        <v>2400</v>
      </c>
      <c r="G35" s="257">
        <f>SUM(G28:G34)</f>
        <v>2400</v>
      </c>
      <c r="H35" s="257">
        <f>SUM(H28:H34)</f>
        <v>2400</v>
      </c>
      <c r="I35" s="257">
        <f>SUM(I28:I34)</f>
        <v>0</v>
      </c>
      <c r="J35" s="257">
        <f>SUM(J28:J34)</f>
        <v>0</v>
      </c>
      <c r="K35" s="257">
        <f>SUM(K28:K34)</f>
        <v>0</v>
      </c>
      <c r="L35" s="257">
        <f>SUM(L28:L34)</f>
        <v>0</v>
      </c>
      <c r="M35" s="257">
        <f>SUM(M28:M34)</f>
        <v>0</v>
      </c>
      <c r="N35" s="257">
        <f>SUM(N28:N34)</f>
        <v>0</v>
      </c>
      <c r="O35" s="257">
        <f>SUM(O28:O34)</f>
        <v>0</v>
      </c>
      <c r="P35" s="257">
        <f>SUM(P28:P33)</f>
        <v>18000.001175226542</v>
      </c>
    </row>
    <row r="36" spans="1:256" s="213" customFormat="1" ht="12.75" customHeight="1">
      <c r="A36" s="248"/>
      <c r="B36" s="838"/>
      <c r="C36" s="250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738" t="s">
        <v>121</v>
      </c>
      <c r="P36" s="257">
        <f>P35-P34</f>
        <v>2133.7624042906718</v>
      </c>
    </row>
    <row r="37" spans="1:256" s="64" customFormat="1" ht="12.75" customHeight="1">
      <c r="A37" s="259">
        <v>32</v>
      </c>
      <c r="B37" s="260" t="s">
        <v>38</v>
      </c>
      <c r="C37" s="261"/>
      <c r="D37" s="261"/>
      <c r="E37" s="261"/>
      <c r="F37" s="261"/>
      <c r="G37" s="261"/>
      <c r="H37" s="253"/>
      <c r="I37" s="253"/>
      <c r="J37" s="253"/>
      <c r="K37" s="253"/>
      <c r="L37" s="253"/>
      <c r="M37" s="253"/>
      <c r="N37" s="253"/>
      <c r="O37" s="253"/>
      <c r="P37" s="261">
        <f>SUM(D37:O37)</f>
        <v>0</v>
      </c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</row>
    <row r="38" spans="1:256" s="213" customFormat="1" ht="12.75" customHeight="1">
      <c r="A38" s="218" t="s">
        <v>122</v>
      </c>
      <c r="B38" s="219" t="s">
        <v>123</v>
      </c>
      <c r="C38" s="266"/>
      <c r="D38" s="221"/>
      <c r="E38" s="221"/>
      <c r="F38" s="398"/>
      <c r="G38" s="222"/>
      <c r="H38" s="221"/>
      <c r="I38" s="228"/>
      <c r="J38" s="221"/>
      <c r="K38" s="221"/>
      <c r="L38" s="221"/>
      <c r="M38" s="221"/>
      <c r="N38" s="221"/>
      <c r="O38" s="221"/>
      <c r="P38" s="817">
        <f t="shared" ref="P38" si="3">SUM(D38:O38)</f>
        <v>0</v>
      </c>
    </row>
    <row r="39" spans="1:256" s="64" customFormat="1" ht="12.75" customHeight="1">
      <c r="A39" s="248"/>
      <c r="B39" s="249"/>
      <c r="C39" s="262"/>
      <c r="D39" s="262"/>
      <c r="E39" s="262"/>
      <c r="F39" s="262"/>
      <c r="G39" s="262"/>
      <c r="H39" s="263"/>
      <c r="I39" s="263"/>
      <c r="J39" s="263"/>
      <c r="K39" s="263"/>
      <c r="L39" s="263"/>
      <c r="M39" s="263"/>
      <c r="N39" s="263"/>
      <c r="O39" s="263"/>
      <c r="P39" s="262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</row>
    <row r="40" spans="1:256" ht="12.75" customHeight="1">
      <c r="A40" s="836"/>
      <c r="B40" s="835" t="s">
        <v>124</v>
      </c>
      <c r="C40" s="242"/>
      <c r="D40" s="242">
        <f>D19+D35+D26</f>
        <v>145298.62117522652</v>
      </c>
      <c r="E40" s="242">
        <f>E19+E35+E26</f>
        <v>57159.46</v>
      </c>
      <c r="F40" s="242">
        <f>F19+F35+F26</f>
        <v>111999.98</v>
      </c>
      <c r="G40" s="242">
        <f>G19+G35+G26</f>
        <v>111675.62</v>
      </c>
      <c r="H40" s="242">
        <f>H19+H35+H26</f>
        <v>111351.22</v>
      </c>
      <c r="I40" s="242">
        <f>I19+I35+I26</f>
        <v>216488.77000000002</v>
      </c>
      <c r="J40" s="242">
        <f>J19+J35+J26</f>
        <v>0</v>
      </c>
      <c r="K40" s="242">
        <f>K19+K35+K26</f>
        <v>0</v>
      </c>
      <c r="L40" s="242">
        <f>L19+L35+L26</f>
        <v>0</v>
      </c>
      <c r="M40" s="242">
        <f>M19+M35+M26</f>
        <v>0</v>
      </c>
      <c r="N40" s="242">
        <f>N19+N35+N26</f>
        <v>0</v>
      </c>
      <c r="O40" s="242">
        <f>O19+O35+O26</f>
        <v>0</v>
      </c>
      <c r="P40" s="242">
        <f>P19+P35+P26</f>
        <v>753973.67117522645</v>
      </c>
    </row>
    <row r="41" spans="1:256" s="409" customFormat="1" ht="12.75" customHeight="1">
      <c r="A41" s="714"/>
      <c r="B41" s="460" t="s">
        <v>125</v>
      </c>
      <c r="C41" s="715"/>
      <c r="D41" s="715">
        <f>D16+D28</f>
        <v>101138.98</v>
      </c>
      <c r="E41" s="715">
        <f>E16+E28</f>
        <v>40000</v>
      </c>
      <c r="F41" s="715">
        <f>F16+F28</f>
        <v>80000</v>
      </c>
      <c r="G41" s="715">
        <f>G16+G28</f>
        <v>80000</v>
      </c>
      <c r="H41" s="715">
        <f>H16+H28</f>
        <v>80000</v>
      </c>
      <c r="I41" s="715">
        <f>I16+I28</f>
        <v>160000</v>
      </c>
      <c r="J41" s="715">
        <f>J16+J28</f>
        <v>0</v>
      </c>
      <c r="K41" s="715">
        <f>K16+K28</f>
        <v>0</v>
      </c>
      <c r="L41" s="715">
        <f>L16+L28</f>
        <v>0</v>
      </c>
      <c r="M41" s="715">
        <f>M16+M28</f>
        <v>0</v>
      </c>
      <c r="N41" s="715">
        <f>N16+N28</f>
        <v>0</v>
      </c>
      <c r="O41" s="715">
        <f>O16+O28</f>
        <v>0</v>
      </c>
      <c r="P41" s="715">
        <f>P16+P28</f>
        <v>541138.98</v>
      </c>
    </row>
    <row r="42" spans="1:256" ht="12.75" customHeight="1">
      <c r="A42" s="836"/>
      <c r="B42" s="835" t="s">
        <v>126</v>
      </c>
      <c r="C42" s="242"/>
      <c r="D42" s="242">
        <f>D40-D41</f>
        <v>44159.641175226527</v>
      </c>
      <c r="E42" s="242">
        <f t="shared" ref="E42:P42" si="4">E40-E41</f>
        <v>17159.46</v>
      </c>
      <c r="F42" s="242">
        <f t="shared" si="4"/>
        <v>31999.979999999996</v>
      </c>
      <c r="G42" s="242">
        <f t="shared" si="4"/>
        <v>31675.619999999995</v>
      </c>
      <c r="H42" s="242">
        <f t="shared" si="4"/>
        <v>31351.22</v>
      </c>
      <c r="I42" s="242">
        <f t="shared" si="4"/>
        <v>56488.770000000019</v>
      </c>
      <c r="J42" s="242">
        <f t="shared" si="4"/>
        <v>0</v>
      </c>
      <c r="K42" s="242">
        <f t="shared" si="4"/>
        <v>0</v>
      </c>
      <c r="L42" s="242">
        <f t="shared" si="4"/>
        <v>0</v>
      </c>
      <c r="M42" s="242">
        <f t="shared" si="4"/>
        <v>0</v>
      </c>
      <c r="N42" s="242">
        <f t="shared" si="4"/>
        <v>0</v>
      </c>
      <c r="O42" s="242">
        <f t="shared" si="4"/>
        <v>0</v>
      </c>
      <c r="P42" s="242">
        <f t="shared" si="4"/>
        <v>212834.69117522647</v>
      </c>
    </row>
    <row r="43" spans="1:256" s="64" customFormat="1" ht="25.5">
      <c r="A43" s="903">
        <f ca="1">TODAY()</f>
        <v>44355</v>
      </c>
      <c r="B43" s="903"/>
      <c r="C43" s="903"/>
      <c r="D43" s="903"/>
      <c r="E43" s="903"/>
      <c r="F43" s="903"/>
      <c r="G43" s="903"/>
      <c r="H43" s="903"/>
      <c r="I43" s="903"/>
      <c r="J43" s="903"/>
      <c r="K43" s="903"/>
      <c r="L43" s="903"/>
      <c r="M43" s="903"/>
      <c r="N43" s="903"/>
      <c r="O43" s="903"/>
      <c r="P43" s="903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</row>
    <row r="44" spans="1:256" s="64" customFormat="1" ht="12.75" customHeight="1">
      <c r="A44" s="302" t="s">
        <v>78</v>
      </c>
      <c r="B44" s="302" t="s">
        <v>102</v>
      </c>
      <c r="C44" s="302" t="s">
        <v>103</v>
      </c>
      <c r="D44" s="656" t="s">
        <v>75</v>
      </c>
      <c r="E44" s="656" t="s">
        <v>76</v>
      </c>
      <c r="F44" s="302" t="s">
        <v>77</v>
      </c>
      <c r="G44" s="302" t="s">
        <v>81</v>
      </c>
      <c r="H44" s="302" t="s">
        <v>82</v>
      </c>
      <c r="I44" s="302" t="s">
        <v>83</v>
      </c>
      <c r="J44" s="302" t="s">
        <v>84</v>
      </c>
      <c r="K44" s="302" t="s">
        <v>85</v>
      </c>
      <c r="L44" s="302" t="s">
        <v>86</v>
      </c>
      <c r="M44" s="302" t="s">
        <v>87</v>
      </c>
      <c r="N44" s="302" t="s">
        <v>88</v>
      </c>
      <c r="O44" s="302" t="s">
        <v>74</v>
      </c>
      <c r="P44" s="302" t="s">
        <v>104</v>
      </c>
      <c r="Q44" s="23"/>
      <c r="R44" s="7">
        <v>2400</v>
      </c>
      <c r="S44" s="7">
        <v>2400.0011752265418</v>
      </c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</row>
    <row r="45" spans="1:256" s="213" customFormat="1" ht="12.75" customHeight="1">
      <c r="A45" s="904" t="s">
        <v>25</v>
      </c>
      <c r="B45" s="905"/>
      <c r="C45" s="905"/>
      <c r="D45" s="905"/>
      <c r="E45" s="905"/>
      <c r="F45" s="905"/>
      <c r="G45" s="905"/>
      <c r="H45" s="905"/>
      <c r="I45" s="905"/>
      <c r="J45" s="905"/>
      <c r="K45" s="905"/>
      <c r="L45" s="905"/>
      <c r="M45" s="905"/>
      <c r="N45" s="905"/>
      <c r="O45" s="905"/>
      <c r="P45" s="905"/>
      <c r="Q45" s="23"/>
      <c r="R45" s="7">
        <v>2255.9999294864074</v>
      </c>
      <c r="S45" s="7">
        <v>2544.0012457401344</v>
      </c>
    </row>
    <row r="46" spans="1:256" s="213" customFormat="1" ht="12.75" customHeight="1">
      <c r="A46" s="734" t="s">
        <v>105</v>
      </c>
      <c r="B46" s="260" t="s">
        <v>106</v>
      </c>
      <c r="C46" s="729"/>
      <c r="D46" s="730">
        <f>40000*2</f>
        <v>80000</v>
      </c>
      <c r="E46" s="730">
        <f>20000*2</f>
        <v>40000</v>
      </c>
      <c r="F46" s="788">
        <f>1000*2+19000*2</f>
        <v>40000</v>
      </c>
      <c r="G46" s="788">
        <f>20000*2</f>
        <v>40000</v>
      </c>
      <c r="H46" s="788">
        <f>20000*2</f>
        <v>40000</v>
      </c>
      <c r="I46" s="788">
        <f>40000*2+10000*2+10000*2</f>
        <v>120000</v>
      </c>
      <c r="J46" s="729">
        <f>20000*2+20000*2+10000*2</f>
        <v>100000</v>
      </c>
      <c r="K46" s="731">
        <f>20000*2+10000*2+10000*2</f>
        <v>80000</v>
      </c>
      <c r="L46" s="729">
        <f>10000*2+10000*2+10000*2</f>
        <v>60000</v>
      </c>
      <c r="M46" s="731">
        <f>10000*2</f>
        <v>20000</v>
      </c>
      <c r="N46" s="253">
        <f>40000*2+20000*2</f>
        <v>120000</v>
      </c>
      <c r="O46" s="692">
        <f>40000*2+10000*2+10000*2</f>
        <v>120000</v>
      </c>
      <c r="P46" s="731">
        <f>SUM(C46:O46)</f>
        <v>860000</v>
      </c>
      <c r="Q46" s="23"/>
      <c r="R46" s="7">
        <v>2103.3598547419997</v>
      </c>
      <c r="S46" s="7">
        <v>2696.6413204845421</v>
      </c>
    </row>
    <row r="47" spans="1:256" s="409" customFormat="1" ht="12.75" customHeight="1">
      <c r="A47" s="735" t="s">
        <v>105</v>
      </c>
      <c r="B47" s="732" t="s">
        <v>107</v>
      </c>
      <c r="C47" s="405"/>
      <c r="D47" s="406">
        <f>13846.58*2</f>
        <v>27693.16</v>
      </c>
      <c r="E47" s="406">
        <f>6663.29*2</f>
        <v>13326.58</v>
      </c>
      <c r="F47" s="789">
        <f>278.08*2+4029.35*2</f>
        <v>8614.86</v>
      </c>
      <c r="G47" s="789">
        <f>5157.26*2</f>
        <v>10314.52</v>
      </c>
      <c r="H47" s="789">
        <f>5305.43*2</f>
        <v>10610.86</v>
      </c>
      <c r="I47" s="789">
        <f>12205.39*2+2960.88*2+2878.63*2</f>
        <v>36089.800000000003</v>
      </c>
      <c r="J47" s="405">
        <f>5987.55*2+5954.65*2+2977.32*2</f>
        <v>29839.040000000001</v>
      </c>
      <c r="K47" s="733">
        <f>6593.88*2+3233.53*2+3142.96*2</f>
        <v>25940.739999999998</v>
      </c>
      <c r="L47" s="733">
        <f>3233.53*2+3142.96*2+3106.73*2</f>
        <v>18966.439999999999</v>
      </c>
      <c r="M47" s="733">
        <f>3260.27*2</f>
        <v>6520.54</v>
      </c>
      <c r="N47" s="733">
        <f>13562.74*2+15449.86*2</f>
        <v>58025.2</v>
      </c>
      <c r="O47" s="428">
        <f>14678.36*2+3527.67*2+3476.98*2</f>
        <v>43366.02</v>
      </c>
      <c r="P47" s="733">
        <f>SUM(C47:O47)</f>
        <v>289307.76</v>
      </c>
      <c r="Q47" s="23"/>
      <c r="R47" s="7">
        <v>1941.561375512927</v>
      </c>
      <c r="S47" s="7">
        <v>2858.4397997136148</v>
      </c>
    </row>
    <row r="48" spans="1:256" s="213" customFormat="1" ht="12.75" customHeight="1">
      <c r="A48" s="248"/>
      <c r="B48" s="249"/>
      <c r="C48" s="250"/>
      <c r="D48" s="251"/>
      <c r="E48" s="251"/>
      <c r="F48" s="252"/>
      <c r="G48" s="252"/>
      <c r="H48" s="252"/>
      <c r="I48" s="252"/>
      <c r="J48" s="250"/>
      <c r="K48" s="252"/>
      <c r="L48" s="250"/>
      <c r="M48" s="252"/>
      <c r="N48" s="252"/>
      <c r="O48" s="252"/>
      <c r="P48" s="252"/>
      <c r="Q48" s="23"/>
      <c r="R48" s="7">
        <v>1770.0549875301101</v>
      </c>
      <c r="S48" s="7">
        <v>3029.9461876964315</v>
      </c>
    </row>
    <row r="49" spans="1:20" s="213" customFormat="1" ht="12.75" customHeight="1">
      <c r="A49" s="248" t="s">
        <v>105</v>
      </c>
      <c r="B49" s="838" t="s">
        <v>25</v>
      </c>
      <c r="C49" s="250"/>
      <c r="D49" s="251">
        <f>SUM(D46:D47)</f>
        <v>107693.16</v>
      </c>
      <c r="E49" s="251">
        <f t="shared" ref="E49:O49" si="5">SUM(E46:E47)</f>
        <v>53326.58</v>
      </c>
      <c r="F49" s="251">
        <f t="shared" si="5"/>
        <v>48614.86</v>
      </c>
      <c r="G49" s="251">
        <f t="shared" si="5"/>
        <v>50314.520000000004</v>
      </c>
      <c r="H49" s="251">
        <f t="shared" si="5"/>
        <v>50610.86</v>
      </c>
      <c r="I49" s="251">
        <f t="shared" si="5"/>
        <v>156089.79999999999</v>
      </c>
      <c r="J49" s="251">
        <f t="shared" si="5"/>
        <v>129839.04000000001</v>
      </c>
      <c r="K49" s="251">
        <f t="shared" si="5"/>
        <v>105940.73999999999</v>
      </c>
      <c r="L49" s="251">
        <f t="shared" si="5"/>
        <v>78966.44</v>
      </c>
      <c r="M49" s="251">
        <f t="shared" si="5"/>
        <v>26520.54</v>
      </c>
      <c r="N49" s="251">
        <f t="shared" si="5"/>
        <v>178025.2</v>
      </c>
      <c r="O49" s="251">
        <f t="shared" si="5"/>
        <v>163366.01999999999</v>
      </c>
      <c r="P49" s="252">
        <f>SUM(C49:O49)</f>
        <v>1149307.76</v>
      </c>
      <c r="Q49" s="23"/>
      <c r="R49" s="7">
        <v>1588.2582162683243</v>
      </c>
      <c r="S49" s="7">
        <v>3211.7429589582175</v>
      </c>
    </row>
    <row r="50" spans="1:20" s="213" customFormat="1" ht="12.75" customHeight="1">
      <c r="A50" s="248"/>
      <c r="B50" s="838"/>
      <c r="C50" s="250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2"/>
      <c r="Q50" s="23"/>
      <c r="R50" s="7">
        <v>1395.5536387308314</v>
      </c>
      <c r="S50" s="7">
        <v>3404.4475364957107</v>
      </c>
    </row>
    <row r="51" spans="1:20" ht="12.75" customHeight="1">
      <c r="A51" s="80" t="s">
        <v>105</v>
      </c>
      <c r="B51" s="182" t="s">
        <v>108</v>
      </c>
      <c r="C51" s="78"/>
      <c r="D51" s="78">
        <v>5795.18</v>
      </c>
      <c r="E51" s="78">
        <f>5795.18+879.8</f>
        <v>6674.9800000000005</v>
      </c>
      <c r="F51" s="78">
        <f>E51</f>
        <v>6674.9800000000005</v>
      </c>
      <c r="G51" s="78">
        <f>F51</f>
        <v>6674.9800000000005</v>
      </c>
      <c r="H51" s="78">
        <f>G51</f>
        <v>6674.9800000000005</v>
      </c>
      <c r="I51" s="78">
        <f>H51/2*3</f>
        <v>10012.470000000001</v>
      </c>
      <c r="J51" s="78">
        <f>I51/3*2</f>
        <v>6674.9800000000005</v>
      </c>
      <c r="K51" s="78">
        <f>J51</f>
        <v>6674.9800000000005</v>
      </c>
      <c r="L51" s="78">
        <f>K51</f>
        <v>6674.9800000000005</v>
      </c>
      <c r="M51" s="78">
        <f>L51</f>
        <v>6674.9800000000005</v>
      </c>
      <c r="N51" s="78">
        <f>M51</f>
        <v>6674.9800000000005</v>
      </c>
      <c r="O51" s="727">
        <f>N51/2*3</f>
        <v>10012.470000000001</v>
      </c>
      <c r="P51" s="221">
        <f>SUM(D51:O51)</f>
        <v>85894.94</v>
      </c>
      <c r="Q51" s="23"/>
      <c r="R51" s="7">
        <v>1191.2867865410888</v>
      </c>
      <c r="S51" s="7">
        <v>3608.7143886854528</v>
      </c>
    </row>
    <row r="52" spans="1:20" s="409" customFormat="1" ht="12.75" customHeight="1">
      <c r="A52" s="458" t="s">
        <v>105</v>
      </c>
      <c r="B52" s="459" t="s">
        <v>109</v>
      </c>
      <c r="C52" s="416"/>
      <c r="D52" s="416">
        <v>32544.95</v>
      </c>
      <c r="E52" s="416">
        <f>D52</f>
        <v>32544.95</v>
      </c>
      <c r="F52" s="416">
        <f t="shared" ref="F52:F54" si="6">E52</f>
        <v>32544.95</v>
      </c>
      <c r="G52" s="416">
        <f t="shared" ref="G52:G54" si="7">F52</f>
        <v>32544.95</v>
      </c>
      <c r="H52" s="416">
        <f t="shared" ref="H52:H54" si="8">G52</f>
        <v>32544.95</v>
      </c>
      <c r="I52" s="416">
        <f>H52/2*3</f>
        <v>48817.425000000003</v>
      </c>
      <c r="J52" s="416">
        <f>I52/3*2</f>
        <v>32544.95</v>
      </c>
      <c r="K52" s="416">
        <f t="shared" ref="K52:K54" si="9">J52</f>
        <v>32544.95</v>
      </c>
      <c r="L52" s="416">
        <f t="shared" ref="L52:L54" si="10">K52</f>
        <v>32544.95</v>
      </c>
      <c r="M52" s="416">
        <f t="shared" ref="M52:M54" si="11">L52</f>
        <v>32544.95</v>
      </c>
      <c r="N52" s="416">
        <f t="shared" ref="N52:N54" si="12">M52</f>
        <v>32544.95</v>
      </c>
      <c r="O52" s="728">
        <f>N52/2*3</f>
        <v>48817.425000000003</v>
      </c>
      <c r="P52" s="466">
        <f>SUM(D52:O52)</f>
        <v>423084.35000000003</v>
      </c>
      <c r="Q52" s="23"/>
      <c r="R52" s="7">
        <v>974.7639232199615</v>
      </c>
      <c r="S52" s="7">
        <v>3825.2372520065801</v>
      </c>
    </row>
    <row r="53" spans="1:20" s="213" customFormat="1" ht="12.75" customHeight="1">
      <c r="A53" s="80" t="s">
        <v>105</v>
      </c>
      <c r="B53" s="182" t="s">
        <v>110</v>
      </c>
      <c r="C53" s="78"/>
      <c r="D53" s="78">
        <v>9737.42</v>
      </c>
      <c r="E53" s="78">
        <f>D53</f>
        <v>9737.42</v>
      </c>
      <c r="F53" s="78">
        <f t="shared" si="6"/>
        <v>9737.42</v>
      </c>
      <c r="G53" s="78">
        <f t="shared" si="7"/>
        <v>9737.42</v>
      </c>
      <c r="H53" s="78">
        <f t="shared" si="8"/>
        <v>9737.42</v>
      </c>
      <c r="I53" s="78">
        <f>H53/2*3</f>
        <v>14606.130000000001</v>
      </c>
      <c r="J53" s="78">
        <f>I53/3*2</f>
        <v>9737.42</v>
      </c>
      <c r="K53" s="78">
        <f t="shared" si="9"/>
        <v>9737.42</v>
      </c>
      <c r="L53" s="78">
        <f t="shared" si="10"/>
        <v>9737.42</v>
      </c>
      <c r="M53" s="78">
        <f t="shared" si="11"/>
        <v>9737.42</v>
      </c>
      <c r="N53" s="78">
        <f t="shared" si="12"/>
        <v>9737.42</v>
      </c>
      <c r="O53" s="727">
        <f>N53/2*3</f>
        <v>14606.130000000001</v>
      </c>
      <c r="P53" s="221">
        <f>SUM(D53:O53)</f>
        <v>126586.45999999999</v>
      </c>
      <c r="Q53" s="23"/>
      <c r="R53" s="7">
        <v>745.2496880995667</v>
      </c>
      <c r="S53" s="7">
        <v>4054.751487126975</v>
      </c>
    </row>
    <row r="54" spans="1:20" s="409" customFormat="1" ht="12.75" customHeight="1">
      <c r="A54" s="458" t="s">
        <v>105</v>
      </c>
      <c r="B54" s="459" t="s">
        <v>111</v>
      </c>
      <c r="C54" s="416"/>
      <c r="D54" s="416">
        <v>2279.09</v>
      </c>
      <c r="E54" s="416">
        <f>D54</f>
        <v>2279.09</v>
      </c>
      <c r="F54" s="416">
        <f t="shared" si="6"/>
        <v>2279.09</v>
      </c>
      <c r="G54" s="416">
        <f t="shared" si="7"/>
        <v>2279.09</v>
      </c>
      <c r="H54" s="416">
        <f t="shared" si="8"/>
        <v>2279.09</v>
      </c>
      <c r="I54" s="416">
        <f>H54/2*3</f>
        <v>3418.6350000000002</v>
      </c>
      <c r="J54" s="416">
        <f>H54</f>
        <v>2279.09</v>
      </c>
      <c r="K54" s="416">
        <f t="shared" si="9"/>
        <v>2279.09</v>
      </c>
      <c r="L54" s="416">
        <f t="shared" si="10"/>
        <v>2279.09</v>
      </c>
      <c r="M54" s="416">
        <f t="shared" si="11"/>
        <v>2279.09</v>
      </c>
      <c r="N54" s="416">
        <f t="shared" si="12"/>
        <v>2279.09</v>
      </c>
      <c r="O54" s="728">
        <f>N54/2*3</f>
        <v>3418.6350000000002</v>
      </c>
      <c r="P54" s="466">
        <f>SUM(D54:O54)</f>
        <v>29628.170000000006</v>
      </c>
      <c r="Q54" s="23"/>
      <c r="R54" s="7">
        <v>501.96459887194823</v>
      </c>
      <c r="S54" s="7">
        <v>4298.0365763545933</v>
      </c>
    </row>
    <row r="55" spans="1:20" s="213" customFormat="1" ht="12.75" customHeight="1">
      <c r="A55" s="836"/>
      <c r="B55" s="181"/>
      <c r="C55" s="82"/>
      <c r="D55" s="241"/>
      <c r="E55" s="241"/>
      <c r="F55" s="241"/>
      <c r="G55" s="82">
        <f>5000+17361</f>
        <v>22361</v>
      </c>
      <c r="H55" s="82"/>
      <c r="I55" s="82"/>
      <c r="J55" s="82"/>
      <c r="K55" s="82"/>
      <c r="L55" s="82"/>
      <c r="M55" s="82"/>
      <c r="N55" s="82"/>
      <c r="O55" s="82"/>
      <c r="P55" s="82"/>
      <c r="Q55" s="23"/>
      <c r="R55" s="7">
        <v>244.08240429067266</v>
      </c>
      <c r="S55" s="7">
        <v>4555.9187709358694</v>
      </c>
    </row>
    <row r="56" spans="1:20" s="213" customFormat="1" ht="12.75" customHeight="1">
      <c r="A56" s="836"/>
      <c r="B56" s="51" t="s">
        <v>127</v>
      </c>
      <c r="C56" s="82"/>
      <c r="D56" s="82">
        <f>SUM(D51:D55)</f>
        <v>50356.639999999999</v>
      </c>
      <c r="E56" s="82">
        <f t="shared" ref="E56:P56" si="13">SUM(E51:E55)</f>
        <v>51236.44</v>
      </c>
      <c r="F56" s="82">
        <f t="shared" si="13"/>
        <v>51236.44</v>
      </c>
      <c r="G56" s="82">
        <f t="shared" si="13"/>
        <v>73597.440000000002</v>
      </c>
      <c r="H56" s="82">
        <f t="shared" si="13"/>
        <v>51236.44</v>
      </c>
      <c r="I56" s="82">
        <f t="shared" si="13"/>
        <v>76854.66</v>
      </c>
      <c r="J56" s="82">
        <f t="shared" si="13"/>
        <v>51236.44</v>
      </c>
      <c r="K56" s="82">
        <f t="shared" si="13"/>
        <v>51236.44</v>
      </c>
      <c r="L56" s="82">
        <f t="shared" si="13"/>
        <v>51236.44</v>
      </c>
      <c r="M56" s="82">
        <f t="shared" si="13"/>
        <v>51236.44</v>
      </c>
      <c r="N56" s="82">
        <f t="shared" si="13"/>
        <v>51236.44</v>
      </c>
      <c r="O56" s="82">
        <f t="shared" si="13"/>
        <v>76854.66</v>
      </c>
      <c r="P56" s="82">
        <f t="shared" si="13"/>
        <v>665193.92000000004</v>
      </c>
      <c r="Q56" s="720"/>
      <c r="R56" s="720">
        <f>SUM(R44:R55)</f>
        <v>17112.135403293836</v>
      </c>
      <c r="S56" s="720">
        <f>SUM(S44:S55)</f>
        <v>40487.878699424662</v>
      </c>
      <c r="T56" s="720">
        <f>SUM(R56:S56)</f>
        <v>57600.014102718502</v>
      </c>
    </row>
    <row r="57" spans="1:20" s="213" customFormat="1" ht="12.75" customHeight="1">
      <c r="A57" s="836"/>
      <c r="B57" s="181"/>
      <c r="C57" s="82"/>
      <c r="D57" s="241"/>
      <c r="E57" s="241"/>
      <c r="F57" s="241"/>
      <c r="G57" s="82"/>
      <c r="H57" s="82"/>
      <c r="I57" s="82"/>
      <c r="J57" s="82"/>
      <c r="K57" s="82"/>
      <c r="L57" s="82"/>
      <c r="M57" s="82"/>
      <c r="N57" s="82"/>
      <c r="O57" s="82"/>
      <c r="P57" s="82"/>
    </row>
    <row r="58" spans="1:20" s="424" customFormat="1" ht="12.75" customHeight="1">
      <c r="A58" s="925">
        <v>72</v>
      </c>
      <c r="B58" s="689" t="s">
        <v>128</v>
      </c>
      <c r="C58" s="421"/>
      <c r="D58" s="422">
        <v>1520.52</v>
      </c>
      <c r="E58" s="422">
        <v>1611.75</v>
      </c>
      <c r="F58" s="422">
        <v>1708.46</v>
      </c>
      <c r="G58" s="428"/>
      <c r="H58" s="428"/>
      <c r="I58" s="428"/>
      <c r="J58" s="428"/>
      <c r="K58" s="428"/>
      <c r="L58" s="428"/>
      <c r="M58" s="428"/>
      <c r="N58" s="428"/>
      <c r="O58" s="428"/>
      <c r="P58" s="423">
        <f>SUM(D58:O58)</f>
        <v>4840.7299999999996</v>
      </c>
    </row>
    <row r="59" spans="1:20" s="424" customFormat="1" ht="12.75" customHeight="1">
      <c r="A59" s="926"/>
      <c r="B59" s="825" t="s">
        <v>129</v>
      </c>
      <c r="C59" s="421"/>
      <c r="D59" s="422">
        <f>279.47+0.01</f>
        <v>279.48</v>
      </c>
      <c r="E59" s="422">
        <f>188.24+0.01</f>
        <v>188.25</v>
      </c>
      <c r="F59" s="422">
        <v>91.54</v>
      </c>
      <c r="G59" s="428"/>
      <c r="H59" s="428"/>
      <c r="I59" s="428"/>
      <c r="J59" s="428"/>
      <c r="K59" s="428"/>
      <c r="L59" s="428"/>
      <c r="M59" s="428"/>
      <c r="N59" s="428"/>
      <c r="O59" s="428"/>
      <c r="P59" s="423">
        <f>SUM(D59:O59)</f>
        <v>559.27</v>
      </c>
    </row>
    <row r="60" spans="1:20" s="693" customFormat="1" ht="12.75" customHeight="1">
      <c r="A60" s="927">
        <v>73</v>
      </c>
      <c r="B60" s="691" t="s">
        <v>130</v>
      </c>
      <c r="C60" s="267"/>
      <c r="D60" s="652">
        <v>2027.38</v>
      </c>
      <c r="E60" s="652">
        <v>2149.02</v>
      </c>
      <c r="F60" s="652">
        <v>2277.96</v>
      </c>
      <c r="G60" s="692"/>
      <c r="H60" s="692"/>
      <c r="I60" s="692"/>
      <c r="J60" s="692"/>
      <c r="K60" s="692"/>
      <c r="L60" s="692"/>
      <c r="M60" s="692"/>
      <c r="N60" s="692"/>
      <c r="O60" s="692"/>
      <c r="P60" s="279">
        <f t="shared" ref="P60:P63" si="14">SUM(E60:O60)</f>
        <v>4426.9799999999996</v>
      </c>
    </row>
    <row r="61" spans="1:20" s="693" customFormat="1" ht="12.75" customHeight="1">
      <c r="A61" s="928"/>
      <c r="B61" s="828" t="s">
        <v>131</v>
      </c>
      <c r="C61" s="267"/>
      <c r="D61" s="652">
        <v>372.62</v>
      </c>
      <c r="E61" s="652">
        <v>250.98</v>
      </c>
      <c r="F61" s="652">
        <v>122.04</v>
      </c>
      <c r="G61" s="692"/>
      <c r="H61" s="692"/>
      <c r="I61" s="692"/>
      <c r="J61" s="692"/>
      <c r="K61" s="692"/>
      <c r="L61" s="692"/>
      <c r="M61" s="692"/>
      <c r="N61" s="692"/>
      <c r="O61" s="692"/>
      <c r="P61" s="279">
        <f t="shared" si="14"/>
        <v>373.02</v>
      </c>
    </row>
    <row r="62" spans="1:20" s="424" customFormat="1" ht="12.75" customHeight="1">
      <c r="A62" s="925">
        <v>74</v>
      </c>
      <c r="B62" s="690" t="s">
        <v>132</v>
      </c>
      <c r="C62" s="407"/>
      <c r="D62" s="736">
        <v>956.31</v>
      </c>
      <c r="E62" s="736">
        <v>1013.69</v>
      </c>
      <c r="F62" s="736">
        <v>1074.51</v>
      </c>
      <c r="G62" s="799">
        <v>1138.98</v>
      </c>
      <c r="H62" s="428"/>
      <c r="I62" s="428"/>
      <c r="J62" s="428"/>
      <c r="K62" s="428"/>
      <c r="L62" s="428"/>
      <c r="M62" s="428"/>
      <c r="N62" s="428"/>
      <c r="O62" s="428"/>
      <c r="P62" s="423">
        <f t="shared" si="14"/>
        <v>3227.18</v>
      </c>
    </row>
    <row r="63" spans="1:20" s="424" customFormat="1" ht="12.75" customHeight="1">
      <c r="A63" s="926"/>
      <c r="B63" s="825" t="s">
        <v>133</v>
      </c>
      <c r="C63" s="407"/>
      <c r="D63" s="736">
        <v>243.69</v>
      </c>
      <c r="E63" s="736">
        <v>186.31</v>
      </c>
      <c r="F63" s="736">
        <v>125.49</v>
      </c>
      <c r="G63" s="799">
        <v>61.02</v>
      </c>
      <c r="H63" s="428"/>
      <c r="I63" s="428"/>
      <c r="J63" s="428"/>
      <c r="K63" s="428"/>
      <c r="L63" s="428"/>
      <c r="M63" s="428"/>
      <c r="N63" s="428"/>
      <c r="O63" s="428"/>
      <c r="P63" s="423">
        <f t="shared" si="14"/>
        <v>372.82</v>
      </c>
    </row>
    <row r="64" spans="1:20" s="693" customFormat="1" ht="12.75" customHeight="1">
      <c r="A64" s="927">
        <v>75</v>
      </c>
      <c r="B64" s="694" t="s">
        <v>134</v>
      </c>
      <c r="C64" s="267"/>
      <c r="D64" s="278">
        <v>636</v>
      </c>
      <c r="E64" s="278">
        <v>674.16</v>
      </c>
      <c r="F64" s="278">
        <v>714.61</v>
      </c>
      <c r="G64" s="756">
        <v>757.49</v>
      </c>
      <c r="H64" s="756">
        <v>802.94</v>
      </c>
      <c r="I64" s="756">
        <v>851.11</v>
      </c>
      <c r="J64" s="696">
        <v>902.18</v>
      </c>
      <c r="K64" s="695">
        <v>956.31</v>
      </c>
      <c r="L64" s="695">
        <v>1013.69</v>
      </c>
      <c r="M64" s="695">
        <v>1074.51</v>
      </c>
      <c r="N64" s="696">
        <v>1138.98</v>
      </c>
      <c r="O64" s="692"/>
      <c r="P64" s="279">
        <f t="shared" ref="P64:P65" si="15">SUM(E64:O64)</f>
        <v>8885.9800000000014</v>
      </c>
    </row>
    <row r="65" spans="1:19" s="693" customFormat="1" ht="12.75" customHeight="1">
      <c r="A65" s="928"/>
      <c r="B65" s="828" t="s">
        <v>133</v>
      </c>
      <c r="C65" s="267"/>
      <c r="D65" s="402">
        <v>564</v>
      </c>
      <c r="E65" s="402">
        <v>525.84</v>
      </c>
      <c r="F65" s="278">
        <v>485.39</v>
      </c>
      <c r="G65" s="756">
        <v>442.51</v>
      </c>
      <c r="H65" s="756">
        <v>397.06</v>
      </c>
      <c r="I65" s="756">
        <v>348.89</v>
      </c>
      <c r="J65" s="696">
        <v>297.82</v>
      </c>
      <c r="K65" s="695">
        <v>243.69</v>
      </c>
      <c r="L65" s="695">
        <v>186.31</v>
      </c>
      <c r="M65" s="695">
        <v>125.49</v>
      </c>
      <c r="N65" s="696">
        <v>61.02</v>
      </c>
      <c r="O65" s="692"/>
      <c r="P65" s="279">
        <f t="shared" si="15"/>
        <v>3114.02</v>
      </c>
    </row>
    <row r="66" spans="1:19" s="693" customFormat="1" ht="12.75" customHeight="1">
      <c r="A66" s="925">
        <v>76</v>
      </c>
      <c r="B66" s="690" t="s">
        <v>113</v>
      </c>
      <c r="C66" s="427"/>
      <c r="D66" s="421"/>
      <c r="E66" s="754">
        <v>600</v>
      </c>
      <c r="F66" s="457">
        <v>636</v>
      </c>
      <c r="G66" s="422">
        <v>674.16</v>
      </c>
      <c r="H66" s="422">
        <v>714.61</v>
      </c>
      <c r="I66" s="755">
        <v>757.49</v>
      </c>
      <c r="J66" s="755">
        <v>802.94</v>
      </c>
      <c r="K66" s="755">
        <v>851.11</v>
      </c>
      <c r="L66" s="755">
        <v>902.18</v>
      </c>
      <c r="M66" s="422">
        <v>956.31</v>
      </c>
      <c r="N66" s="422">
        <v>1013.69</v>
      </c>
      <c r="O66" s="422">
        <v>1074.51</v>
      </c>
      <c r="P66" s="423">
        <f>SUM(C66:O66)</f>
        <v>8983.0000000000018</v>
      </c>
      <c r="R66" s="726">
        <f>SUM(P66:Q66)</f>
        <v>8983.0000000000018</v>
      </c>
    </row>
    <row r="67" spans="1:19" s="693" customFormat="1" ht="12.75" customHeight="1">
      <c r="A67" s="926"/>
      <c r="B67" s="825" t="s">
        <v>133</v>
      </c>
      <c r="C67" s="427"/>
      <c r="D67" s="421"/>
      <c r="E67" s="754">
        <v>600</v>
      </c>
      <c r="F67" s="457">
        <v>564</v>
      </c>
      <c r="G67" s="422">
        <v>525.84</v>
      </c>
      <c r="H67" s="422">
        <v>485.39</v>
      </c>
      <c r="I67" s="755">
        <v>442.51</v>
      </c>
      <c r="J67" s="755">
        <v>397.06</v>
      </c>
      <c r="K67" s="755">
        <v>348.89</v>
      </c>
      <c r="L67" s="755">
        <v>297.82</v>
      </c>
      <c r="M67" s="422">
        <v>243.69</v>
      </c>
      <c r="N67" s="422">
        <v>186.31</v>
      </c>
      <c r="O67" s="422">
        <v>125.49</v>
      </c>
      <c r="P67" s="423">
        <f>SUM(C67:O67)</f>
        <v>4217</v>
      </c>
      <c r="R67" s="726">
        <f>SUM(P67:Q67)</f>
        <v>4217</v>
      </c>
      <c r="S67" s="726">
        <f>SUM(R66:R67)</f>
        <v>13200.000000000002</v>
      </c>
    </row>
    <row r="68" spans="1:19" s="693" customFormat="1" ht="12.75" customHeight="1">
      <c r="A68" s="927">
        <v>77</v>
      </c>
      <c r="B68" s="694" t="s">
        <v>115</v>
      </c>
      <c r="C68" s="724"/>
      <c r="D68" s="277"/>
      <c r="E68" s="753">
        <v>2400</v>
      </c>
      <c r="F68" s="801">
        <v>2544.0012457401344</v>
      </c>
      <c r="G68" s="801">
        <v>2696.6413204845421</v>
      </c>
      <c r="H68" s="801">
        <v>2858.4397997136148</v>
      </c>
      <c r="I68" s="801">
        <v>3029.9461876964315</v>
      </c>
      <c r="J68" s="802">
        <v>3211.7429589582175</v>
      </c>
      <c r="K68" s="802">
        <v>3404.4475364957107</v>
      </c>
      <c r="L68" s="802">
        <v>3608.7143886854528</v>
      </c>
      <c r="M68" s="802">
        <v>3825.2372520065801</v>
      </c>
      <c r="N68" s="802">
        <v>4054.751487126975</v>
      </c>
      <c r="O68" s="802">
        <v>4298.0365763545933</v>
      </c>
      <c r="P68" s="279">
        <f>SUM(C68:O68)</f>
        <v>35931.958753262254</v>
      </c>
      <c r="R68" s="726">
        <f>SUM(P68:Q68)</f>
        <v>35931.958753262254</v>
      </c>
    </row>
    <row r="69" spans="1:19" s="693" customFormat="1" ht="12.75" customHeight="1">
      <c r="A69" s="928"/>
      <c r="B69" s="828" t="s">
        <v>116</v>
      </c>
      <c r="C69" s="724"/>
      <c r="D69" s="277"/>
      <c r="E69" s="753">
        <v>2400</v>
      </c>
      <c r="F69" s="801">
        <v>2255.9999294864074</v>
      </c>
      <c r="G69" s="801">
        <v>2103.3598547419997</v>
      </c>
      <c r="H69" s="801">
        <v>1941.561375512927</v>
      </c>
      <c r="I69" s="801">
        <v>1770.0549875301101</v>
      </c>
      <c r="J69" s="802">
        <v>1588.2582162683243</v>
      </c>
      <c r="K69" s="802">
        <v>1395.5536387308314</v>
      </c>
      <c r="L69" s="802">
        <v>1191.2867865410888</v>
      </c>
      <c r="M69" s="802">
        <v>974.7639232199615</v>
      </c>
      <c r="N69" s="802">
        <v>745.2496880995667</v>
      </c>
      <c r="O69" s="802">
        <v>501.96459887194823</v>
      </c>
      <c r="P69" s="279">
        <f>SUM(C69:O69)</f>
        <v>16868.052999003165</v>
      </c>
      <c r="R69" s="726">
        <f>SUM(P69:Q69)</f>
        <v>16868.052999003165</v>
      </c>
      <c r="S69" s="726">
        <f>SUM(R68:R69)</f>
        <v>52800.011752265418</v>
      </c>
    </row>
    <row r="70" spans="1:19" s="693" customFormat="1" ht="12.75" customHeight="1">
      <c r="A70" s="925">
        <v>2178</v>
      </c>
      <c r="B70" s="690" t="s">
        <v>117</v>
      </c>
      <c r="C70" s="427"/>
      <c r="D70" s="421"/>
      <c r="E70" s="754"/>
      <c r="F70" s="461"/>
      <c r="G70" s="461"/>
      <c r="H70" s="461"/>
      <c r="I70" s="461">
        <v>1200</v>
      </c>
      <c r="J70" s="462">
        <v>1272</v>
      </c>
      <c r="K70" s="462">
        <v>1348.32</v>
      </c>
      <c r="L70" s="462">
        <v>1429.22</v>
      </c>
      <c r="M70" s="462">
        <v>1514.97</v>
      </c>
      <c r="N70" s="462" t="s">
        <v>135</v>
      </c>
      <c r="O70" s="462">
        <v>1702.22</v>
      </c>
      <c r="P70" s="423">
        <f>SUM(C70:O70)</f>
        <v>8466.73</v>
      </c>
      <c r="R70" s="726">
        <f>SUM(P70:Q70)</f>
        <v>8466.73</v>
      </c>
    </row>
    <row r="71" spans="1:19" s="693" customFormat="1" ht="12.75" customHeight="1">
      <c r="A71" s="926"/>
      <c r="B71" s="825" t="s">
        <v>118</v>
      </c>
      <c r="C71" s="427"/>
      <c r="D71" s="421"/>
      <c r="E71" s="754"/>
      <c r="F71" s="461"/>
      <c r="G71" s="461"/>
      <c r="H71" s="461"/>
      <c r="I71" s="461">
        <v>1200</v>
      </c>
      <c r="J71" s="462">
        <v>1128</v>
      </c>
      <c r="K71" s="462">
        <v>1051.5999999999999</v>
      </c>
      <c r="L71" s="462">
        <v>970.78</v>
      </c>
      <c r="M71" s="462">
        <v>885.03</v>
      </c>
      <c r="N71" s="462">
        <v>794.13</v>
      </c>
      <c r="O71" s="462">
        <v>697.78</v>
      </c>
      <c r="P71" s="423">
        <f>SUM(C71:O71)</f>
        <v>6727.32</v>
      </c>
      <c r="R71" s="726">
        <f>SUM(P71:Q71)</f>
        <v>6727.32</v>
      </c>
      <c r="S71" s="726">
        <f>SUM(R70:R71)</f>
        <v>15194.05</v>
      </c>
    </row>
    <row r="72" spans="1:19" s="214" customFormat="1" ht="12.75" customHeight="1">
      <c r="A72" s="254"/>
      <c r="B72" s="255"/>
      <c r="C72" s="256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737" t="s">
        <v>119</v>
      </c>
      <c r="P72" s="258">
        <f>P58+P60+P62+P64+P66+P68+P70</f>
        <v>74762.558753262259</v>
      </c>
    </row>
    <row r="73" spans="1:19" s="214" customFormat="1" ht="12.75" customHeight="1">
      <c r="A73" s="254"/>
      <c r="B73" s="254" t="s">
        <v>120</v>
      </c>
      <c r="C73" s="256"/>
      <c r="D73" s="257">
        <f>SUM(D58:D69)</f>
        <v>6599.9999999999991</v>
      </c>
      <c r="E73" s="257">
        <f t="shared" ref="E73:O73" si="16">SUM(E58:E69)</f>
        <v>12600</v>
      </c>
      <c r="F73" s="257">
        <f t="shared" si="16"/>
        <v>12600.001175226542</v>
      </c>
      <c r="G73" s="257">
        <f t="shared" si="16"/>
        <v>8400.0011752265418</v>
      </c>
      <c r="H73" s="257">
        <f t="shared" si="16"/>
        <v>7200.0011752265418</v>
      </c>
      <c r="I73" s="257">
        <f t="shared" si="16"/>
        <v>7200.0011752265418</v>
      </c>
      <c r="J73" s="257">
        <f t="shared" si="16"/>
        <v>7200.0011752265418</v>
      </c>
      <c r="K73" s="257">
        <f t="shared" si="16"/>
        <v>7200.0011752265418</v>
      </c>
      <c r="L73" s="257">
        <f t="shared" si="16"/>
        <v>7200.0011752265418</v>
      </c>
      <c r="M73" s="257">
        <f t="shared" si="16"/>
        <v>7200.0011752265418</v>
      </c>
      <c r="N73" s="257">
        <f t="shared" si="16"/>
        <v>7200.0011752265418</v>
      </c>
      <c r="O73" s="257">
        <f t="shared" si="16"/>
        <v>6000.0011752265418</v>
      </c>
      <c r="P73" s="257">
        <f>SUM(P58:P71)</f>
        <v>106994.06175226544</v>
      </c>
    </row>
    <row r="74" spans="1:19" s="213" customFormat="1" ht="12.75" customHeight="1">
      <c r="A74" s="248"/>
      <c r="B74" s="838"/>
      <c r="C74" s="250"/>
      <c r="D74" s="25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738" t="s">
        <v>121</v>
      </c>
      <c r="P74" s="252">
        <f>P73-P72</f>
        <v>32231.502999003176</v>
      </c>
    </row>
    <row r="75" spans="1:19" ht="12.75" customHeight="1">
      <c r="A75" s="218">
        <v>32</v>
      </c>
      <c r="B75" s="649" t="s">
        <v>38</v>
      </c>
      <c r="C75" s="817"/>
      <c r="D75" s="744">
        <v>7000</v>
      </c>
      <c r="E75" s="744">
        <v>7000</v>
      </c>
      <c r="F75" s="744">
        <v>7000</v>
      </c>
      <c r="G75" s="744">
        <v>7000</v>
      </c>
      <c r="H75" s="692" t="s">
        <v>136</v>
      </c>
      <c r="I75" s="692" t="s">
        <v>136</v>
      </c>
      <c r="J75" s="692" t="s">
        <v>136</v>
      </c>
      <c r="K75" s="692" t="s">
        <v>136</v>
      </c>
      <c r="L75" s="692" t="s">
        <v>136</v>
      </c>
      <c r="M75" s="692" t="s">
        <v>136</v>
      </c>
      <c r="N75" s="692" t="s">
        <v>136</v>
      </c>
      <c r="O75" s="692" t="s">
        <v>136</v>
      </c>
      <c r="P75" s="817">
        <f>SUM(D75:O75)</f>
        <v>28000</v>
      </c>
    </row>
    <row r="76" spans="1:19" s="409" customFormat="1" ht="12.75" customHeight="1">
      <c r="A76" s="697" t="s">
        <v>122</v>
      </c>
      <c r="B76" s="464" t="s">
        <v>123</v>
      </c>
      <c r="C76" s="405"/>
      <c r="D76" s="466"/>
      <c r="E76" s="466">
        <f>10000</f>
        <v>10000</v>
      </c>
      <c r="F76" s="464"/>
      <c r="G76" s="406"/>
      <c r="H76" s="466"/>
      <c r="I76" s="698"/>
      <c r="J76" s="466"/>
      <c r="K76" s="466"/>
      <c r="L76" s="466"/>
      <c r="M76" s="466"/>
      <c r="N76" s="466"/>
      <c r="O76" s="466"/>
      <c r="P76" s="467">
        <f t="shared" ref="P76" si="17">SUM(D76:O76)</f>
        <v>10000</v>
      </c>
    </row>
    <row r="77" spans="1:19" s="213" customFormat="1" ht="12.75" hidden="1" customHeight="1">
      <c r="A77" s="80" t="s">
        <v>122</v>
      </c>
      <c r="B77" s="76" t="s">
        <v>137</v>
      </c>
      <c r="C77" s="74">
        <v>0</v>
      </c>
      <c r="D77" s="74"/>
      <c r="E77" s="74"/>
      <c r="F77" s="74"/>
      <c r="G77" s="74"/>
      <c r="H77" s="74"/>
      <c r="I77" s="211"/>
      <c r="J77" s="74"/>
      <c r="K77" s="74"/>
      <c r="L77" s="74"/>
      <c r="M77" s="211"/>
      <c r="N77" s="74"/>
      <c r="O77" s="211"/>
      <c r="P77" s="74">
        <f t="shared" ref="P77:P88" si="18">SUM(D77:O77)</f>
        <v>0</v>
      </c>
    </row>
    <row r="78" spans="1:19" s="213" customFormat="1" ht="12.75" hidden="1" customHeight="1">
      <c r="A78" s="174" t="s">
        <v>122</v>
      </c>
      <c r="B78" s="172" t="s">
        <v>138</v>
      </c>
      <c r="C78" s="175">
        <v>0</v>
      </c>
      <c r="D78" s="175"/>
      <c r="E78" s="175"/>
      <c r="F78" s="175"/>
      <c r="G78" s="175"/>
      <c r="H78" s="175"/>
      <c r="I78" s="554"/>
      <c r="J78" s="175"/>
      <c r="K78" s="175"/>
      <c r="L78" s="175"/>
      <c r="M78" s="554"/>
      <c r="N78" s="175"/>
      <c r="O78" s="554"/>
      <c r="P78" s="74">
        <f t="shared" si="18"/>
        <v>0</v>
      </c>
    </row>
    <row r="79" spans="1:19" s="213" customFormat="1" ht="12.75" hidden="1" customHeight="1">
      <c r="A79" s="80" t="s">
        <v>122</v>
      </c>
      <c r="B79" s="91" t="s">
        <v>139</v>
      </c>
      <c r="C79" s="77">
        <v>0</v>
      </c>
      <c r="D79" s="282"/>
      <c r="E79" s="78"/>
      <c r="F79" s="79"/>
      <c r="G79" s="79"/>
      <c r="H79" s="79"/>
      <c r="I79" s="212"/>
      <c r="J79" s="77"/>
      <c r="K79" s="283"/>
      <c r="L79" s="77"/>
      <c r="M79" s="212"/>
      <c r="N79" s="79"/>
      <c r="O79" s="212"/>
      <c r="P79" s="74">
        <f t="shared" si="18"/>
        <v>0</v>
      </c>
    </row>
    <row r="80" spans="1:19" s="213" customFormat="1" ht="12.75" hidden="1" customHeight="1">
      <c r="A80" s="75" t="s">
        <v>122</v>
      </c>
      <c r="B80" s="76" t="s">
        <v>140</v>
      </c>
      <c r="C80" s="77">
        <v>0</v>
      </c>
      <c r="D80" s="282"/>
      <c r="E80" s="78"/>
      <c r="F80" s="79"/>
      <c r="G80" s="79"/>
      <c r="H80" s="79"/>
      <c r="I80" s="555"/>
      <c r="J80" s="284"/>
      <c r="K80" s="284"/>
      <c r="L80" s="284"/>
      <c r="M80" s="555"/>
      <c r="N80" s="284"/>
      <c r="O80" s="212"/>
      <c r="P80" s="74">
        <f t="shared" si="18"/>
        <v>0</v>
      </c>
    </row>
    <row r="81" spans="1:19" s="213" customFormat="1" ht="12.75" hidden="1" customHeight="1">
      <c r="A81" s="80" t="s">
        <v>122</v>
      </c>
      <c r="B81" s="91" t="s">
        <v>141</v>
      </c>
      <c r="C81" s="77">
        <v>0</v>
      </c>
      <c r="D81" s="78"/>
      <c r="E81" s="78"/>
      <c r="F81" s="79"/>
      <c r="G81" s="79"/>
      <c r="H81" s="79"/>
      <c r="I81" s="212"/>
      <c r="J81" s="79"/>
      <c r="K81" s="79"/>
      <c r="L81" s="79"/>
      <c r="M81" s="212"/>
      <c r="N81" s="79"/>
      <c r="O81" s="212"/>
      <c r="P81" s="74">
        <f t="shared" si="18"/>
        <v>0</v>
      </c>
    </row>
    <row r="82" spans="1:19" s="213" customFormat="1" ht="12.75" hidden="1" customHeight="1">
      <c r="A82" s="80" t="s">
        <v>122</v>
      </c>
      <c r="B82" s="91" t="s">
        <v>142</v>
      </c>
      <c r="C82" s="77">
        <v>0</v>
      </c>
      <c r="D82" s="78"/>
      <c r="E82" s="78"/>
      <c r="F82" s="79"/>
      <c r="G82" s="79"/>
      <c r="H82" s="79"/>
      <c r="I82" s="212"/>
      <c r="J82" s="77"/>
      <c r="K82" s="74"/>
      <c r="L82" s="77"/>
      <c r="M82" s="212"/>
      <c r="N82" s="79"/>
      <c r="O82" s="212"/>
      <c r="P82" s="74">
        <f t="shared" si="18"/>
        <v>0</v>
      </c>
    </row>
    <row r="83" spans="1:19" s="213" customFormat="1" ht="12.75" customHeight="1">
      <c r="A83" s="174"/>
      <c r="B83" s="176" t="s">
        <v>143</v>
      </c>
      <c r="C83" s="285">
        <v>0</v>
      </c>
      <c r="D83" s="297" t="s">
        <v>136</v>
      </c>
      <c r="E83" s="297" t="s">
        <v>136</v>
      </c>
      <c r="F83" s="396">
        <v>2500</v>
      </c>
      <c r="G83" s="396">
        <v>2500</v>
      </c>
      <c r="H83" s="396">
        <v>2500</v>
      </c>
      <c r="I83" s="396"/>
      <c r="J83" s="569"/>
      <c r="K83" s="554"/>
      <c r="L83" s="569"/>
      <c r="M83" s="569"/>
      <c r="N83" s="396"/>
      <c r="O83" s="396"/>
      <c r="P83" s="74">
        <f t="shared" si="18"/>
        <v>7500</v>
      </c>
    </row>
    <row r="84" spans="1:19" s="409" customFormat="1" ht="12.75" customHeight="1">
      <c r="A84" s="699"/>
      <c r="B84" s="700" t="s">
        <v>144</v>
      </c>
      <c r="C84" s="701"/>
      <c r="D84" s="297" t="s">
        <v>136</v>
      </c>
      <c r="E84" s="297" t="s">
        <v>136</v>
      </c>
      <c r="F84" s="702">
        <v>2500</v>
      </c>
      <c r="G84" s="702">
        <v>2500</v>
      </c>
      <c r="H84" s="702">
        <v>2500</v>
      </c>
      <c r="I84" s="702"/>
      <c r="J84" s="703"/>
      <c r="K84" s="704"/>
      <c r="L84" s="703"/>
      <c r="M84" s="703"/>
      <c r="N84" s="702"/>
      <c r="O84" s="702"/>
      <c r="P84" s="705">
        <f t="shared" si="18"/>
        <v>7500</v>
      </c>
    </row>
    <row r="85" spans="1:19" s="213" customFormat="1" ht="12.75" customHeight="1">
      <c r="A85" s="174" t="s">
        <v>122</v>
      </c>
      <c r="B85" s="176" t="s">
        <v>145</v>
      </c>
      <c r="C85" s="285"/>
      <c r="D85" s="187"/>
      <c r="E85" s="275"/>
      <c r="F85" s="397"/>
      <c r="G85" s="399"/>
      <c r="H85" s="286"/>
      <c r="I85" s="286"/>
      <c r="J85" s="285"/>
      <c r="K85" s="175"/>
      <c r="L85" s="285"/>
      <c r="M85" s="286"/>
      <c r="N85" s="286"/>
      <c r="O85" s="286"/>
      <c r="P85" s="74">
        <f t="shared" si="18"/>
        <v>0</v>
      </c>
    </row>
    <row r="86" spans="1:19" s="409" customFormat="1" ht="12.75" customHeight="1">
      <c r="A86" s="791" t="s">
        <v>122</v>
      </c>
      <c r="B86" s="486" t="s">
        <v>146</v>
      </c>
      <c r="C86" s="792"/>
      <c r="D86" s="793"/>
      <c r="E86" s="793"/>
      <c r="F86" s="793"/>
      <c r="G86" s="793"/>
      <c r="H86" s="793"/>
      <c r="I86" s="794"/>
      <c r="J86" s="794"/>
      <c r="K86" s="793"/>
      <c r="L86" s="793"/>
      <c r="M86" s="793"/>
      <c r="N86" s="793"/>
      <c r="O86" s="793"/>
      <c r="P86" s="795">
        <f t="shared" si="18"/>
        <v>0</v>
      </c>
    </row>
    <row r="87" spans="1:19" s="213" customFormat="1" ht="12.75" customHeight="1">
      <c r="A87" s="218" t="s">
        <v>122</v>
      </c>
      <c r="B87" s="219" t="s">
        <v>147</v>
      </c>
      <c r="C87" s="266"/>
      <c r="D87" s="221"/>
      <c r="E87" s="221"/>
      <c r="F87" s="221"/>
      <c r="G87" s="222">
        <v>1619.5</v>
      </c>
      <c r="H87" s="222">
        <v>1619.5</v>
      </c>
      <c r="I87" s="221"/>
      <c r="J87" s="221"/>
      <c r="K87" s="221"/>
      <c r="L87" s="221"/>
      <c r="M87" s="221"/>
      <c r="N87" s="221"/>
      <c r="O87" s="221"/>
      <c r="P87" s="817">
        <f t="shared" si="18"/>
        <v>3239</v>
      </c>
    </row>
    <row r="88" spans="1:19" s="213" customFormat="1" ht="12.75" customHeight="1">
      <c r="A88" s="218" t="s">
        <v>122</v>
      </c>
      <c r="B88" s="219" t="s">
        <v>148</v>
      </c>
      <c r="C88" s="266"/>
      <c r="D88" s="222">
        <v>1000</v>
      </c>
      <c r="E88" s="222">
        <v>1000</v>
      </c>
      <c r="F88" s="222">
        <v>1000</v>
      </c>
      <c r="G88" s="222">
        <v>1619.5</v>
      </c>
      <c r="H88" s="221">
        <v>1619.5</v>
      </c>
      <c r="I88" s="221"/>
      <c r="J88" s="221"/>
      <c r="K88" s="221"/>
      <c r="L88" s="221"/>
      <c r="M88" s="221"/>
      <c r="N88" s="221"/>
      <c r="O88" s="221"/>
      <c r="P88" s="817">
        <f t="shared" si="18"/>
        <v>6239</v>
      </c>
    </row>
    <row r="89" spans="1:19" s="213" customFormat="1" ht="12.75" customHeight="1">
      <c r="A89" s="836"/>
      <c r="B89"/>
      <c r="C89" s="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1"/>
    </row>
    <row r="90" spans="1:19" s="213" customFormat="1" ht="12.75" customHeight="1">
      <c r="A90" s="836" t="s">
        <v>122</v>
      </c>
      <c r="B90" s="835" t="s">
        <v>149</v>
      </c>
      <c r="C90" s="2">
        <f>SUM(C75:C87)</f>
        <v>0</v>
      </c>
      <c r="D90" s="2">
        <f t="shared" ref="D90:P90" si="19">SUM(D75:D87)</f>
        <v>7000</v>
      </c>
      <c r="E90" s="2">
        <f t="shared" si="19"/>
        <v>17000</v>
      </c>
      <c r="F90" s="2">
        <f t="shared" si="19"/>
        <v>12000</v>
      </c>
      <c r="G90" s="2">
        <f t="shared" si="19"/>
        <v>13619.5</v>
      </c>
      <c r="H90" s="2">
        <f t="shared" si="19"/>
        <v>6619.5</v>
      </c>
      <c r="I90" s="2">
        <f t="shared" si="19"/>
        <v>0</v>
      </c>
      <c r="J90" s="2">
        <f t="shared" si="19"/>
        <v>0</v>
      </c>
      <c r="K90" s="2">
        <f t="shared" si="19"/>
        <v>0</v>
      </c>
      <c r="L90" s="2">
        <f t="shared" si="19"/>
        <v>0</v>
      </c>
      <c r="M90" s="2">
        <f t="shared" si="19"/>
        <v>0</v>
      </c>
      <c r="N90" s="2">
        <f t="shared" si="19"/>
        <v>0</v>
      </c>
      <c r="O90" s="2">
        <f t="shared" si="19"/>
        <v>0</v>
      </c>
      <c r="P90" s="2">
        <f t="shared" si="19"/>
        <v>56239</v>
      </c>
    </row>
    <row r="91" spans="1:19" s="213" customFormat="1" ht="12.75" customHeight="1">
      <c r="A91" s="895"/>
      <c r="B91" s="895"/>
      <c r="C91" s="895"/>
      <c r="D91" s="895"/>
      <c r="E91" s="895"/>
      <c r="F91" s="895"/>
      <c r="G91" s="895"/>
      <c r="H91" s="895"/>
      <c r="I91" s="895"/>
      <c r="J91" s="895"/>
      <c r="K91" s="895"/>
      <c r="L91" s="895"/>
      <c r="M91" s="895"/>
      <c r="N91" s="895"/>
      <c r="O91" s="895"/>
      <c r="P91" s="895"/>
    </row>
    <row r="92" spans="1:19" s="213" customFormat="1" ht="12.75" customHeight="1">
      <c r="A92" s="75" t="s">
        <v>122</v>
      </c>
      <c r="B92" s="76" t="s">
        <v>150</v>
      </c>
      <c r="C92" s="77"/>
      <c r="D92" s="210">
        <f>2854.93+422.41</f>
        <v>3277.3399999999997</v>
      </c>
      <c r="E92" s="210">
        <f>444.33+2209.99+38.86+2306.82</f>
        <v>5000</v>
      </c>
      <c r="F92" s="210">
        <f>444.33</f>
        <v>444.33</v>
      </c>
      <c r="G92" s="210">
        <f>444.33</f>
        <v>444.33</v>
      </c>
      <c r="H92" s="210">
        <f>444.33</f>
        <v>444.33</v>
      </c>
      <c r="I92" s="210">
        <v>1000</v>
      </c>
      <c r="J92" s="78">
        <f>444.33</f>
        <v>444.33</v>
      </c>
      <c r="K92" s="78">
        <f>444.33</f>
        <v>444.33</v>
      </c>
      <c r="L92" s="78">
        <f>444.33</f>
        <v>444.33</v>
      </c>
      <c r="M92" s="79"/>
      <c r="N92" s="284"/>
      <c r="O92" s="654"/>
      <c r="P92" s="455">
        <f>SUM(D92:O92)</f>
        <v>11943.32</v>
      </c>
      <c r="R92" s="763">
        <f>5000-E92</f>
        <v>0</v>
      </c>
    </row>
    <row r="93" spans="1:19" s="213" customFormat="1" ht="12.75" customHeight="1">
      <c r="A93" s="75" t="s">
        <v>122</v>
      </c>
      <c r="B93" s="91" t="s">
        <v>151</v>
      </c>
      <c r="C93" s="77"/>
      <c r="D93" s="210">
        <v>14000</v>
      </c>
      <c r="E93" s="210">
        <v>20000</v>
      </c>
      <c r="F93" s="78"/>
      <c r="G93" s="210">
        <v>15000</v>
      </c>
      <c r="H93" s="210">
        <v>12000</v>
      </c>
      <c r="I93" s="210">
        <v>11000</v>
      </c>
      <c r="J93" s="77"/>
      <c r="K93" s="74"/>
      <c r="L93" s="77"/>
      <c r="M93" s="79"/>
      <c r="N93" s="79"/>
      <c r="O93" s="79"/>
      <c r="P93" s="221">
        <f>SUM(D93:O93)</f>
        <v>72000</v>
      </c>
    </row>
    <row r="94" spans="1:19" s="213" customFormat="1" ht="12.75" customHeight="1">
      <c r="A94" s="835"/>
      <c r="B94"/>
      <c r="C94" s="2"/>
      <c r="D94" s="289"/>
      <c r="E94" s="82"/>
      <c r="F94" s="81"/>
      <c r="G94" s="81"/>
      <c r="H94" s="81"/>
      <c r="I94" s="290"/>
      <c r="J94" s="291"/>
      <c r="K94" s="292"/>
      <c r="L94" s="291"/>
      <c r="M94" s="290"/>
      <c r="N94" s="290"/>
      <c r="O94" s="81"/>
      <c r="P94" s="81"/>
      <c r="R94" s="213">
        <v>2209.9899999999998</v>
      </c>
      <c r="S94" s="213">
        <v>410.07</v>
      </c>
    </row>
    <row r="95" spans="1:19" s="213" customFormat="1" ht="12.75" customHeight="1">
      <c r="A95" s="835"/>
      <c r="B95" s="835" t="s">
        <v>152</v>
      </c>
      <c r="C95" s="2"/>
      <c r="D95" s="82">
        <f t="shared" ref="D95:P95" si="20">SUM(D92:D94)</f>
        <v>17277.34</v>
      </c>
      <c r="E95" s="82">
        <f t="shared" si="20"/>
        <v>25000</v>
      </c>
      <c r="F95" s="82">
        <f t="shared" si="20"/>
        <v>444.33</v>
      </c>
      <c r="G95" s="82">
        <f t="shared" si="20"/>
        <v>15444.33</v>
      </c>
      <c r="H95" s="82">
        <f t="shared" si="20"/>
        <v>12444.33</v>
      </c>
      <c r="I95" s="82">
        <f t="shared" si="20"/>
        <v>12000</v>
      </c>
      <c r="J95" s="82">
        <f t="shared" si="20"/>
        <v>444.33</v>
      </c>
      <c r="K95" s="82">
        <f t="shared" si="20"/>
        <v>444.33</v>
      </c>
      <c r="L95" s="82">
        <f t="shared" si="20"/>
        <v>444.33</v>
      </c>
      <c r="M95" s="82">
        <f t="shared" si="20"/>
        <v>0</v>
      </c>
      <c r="N95" s="82">
        <f t="shared" si="20"/>
        <v>0</v>
      </c>
      <c r="O95" s="82">
        <f t="shared" si="20"/>
        <v>0</v>
      </c>
      <c r="P95" s="82">
        <f t="shared" si="20"/>
        <v>83943.32</v>
      </c>
      <c r="R95" s="213">
        <v>584.16</v>
      </c>
      <c r="S95" s="213">
        <v>2854.93</v>
      </c>
    </row>
    <row r="96" spans="1:19" s="213" customFormat="1" ht="12.75" customHeight="1">
      <c r="A96" s="896"/>
      <c r="B96" s="896"/>
      <c r="C96" s="896"/>
      <c r="D96" s="896"/>
      <c r="E96" s="896"/>
      <c r="F96" s="896"/>
      <c r="G96" s="896"/>
      <c r="H96" s="896"/>
      <c r="I96" s="896"/>
      <c r="J96" s="896"/>
      <c r="K96" s="896"/>
      <c r="L96" s="896"/>
      <c r="M96" s="896"/>
      <c r="N96" s="896"/>
      <c r="O96" s="896"/>
      <c r="P96" s="896"/>
      <c r="R96" s="213">
        <v>444.33</v>
      </c>
    </row>
    <row r="97" spans="1:256" s="213" customFormat="1" ht="12.75" customHeight="1">
      <c r="A97" s="75" t="s">
        <v>122</v>
      </c>
      <c r="B97" s="76" t="s">
        <v>153</v>
      </c>
      <c r="C97" s="77"/>
      <c r="D97" s="210">
        <v>465.5</v>
      </c>
      <c r="E97" s="293">
        <v>461.4</v>
      </c>
      <c r="F97" s="239">
        <v>461.4</v>
      </c>
      <c r="G97" s="239">
        <v>461.4</v>
      </c>
      <c r="H97" s="210">
        <v>461.4</v>
      </c>
      <c r="I97" s="210">
        <v>461.4</v>
      </c>
      <c r="J97" s="210"/>
      <c r="K97" s="212"/>
      <c r="L97" s="212"/>
      <c r="M97" s="212"/>
      <c r="N97" s="212"/>
      <c r="O97" s="654"/>
      <c r="P97" s="817">
        <f>SUM(C97:O97)</f>
        <v>2772.5</v>
      </c>
      <c r="R97" s="213">
        <v>38.86</v>
      </c>
    </row>
    <row r="98" spans="1:256" s="213" customFormat="1" ht="12.75" customHeight="1">
      <c r="A98" s="75" t="s">
        <v>122</v>
      </c>
      <c r="B98" s="177" t="s">
        <v>154</v>
      </c>
      <c r="C98" s="77"/>
      <c r="D98" s="210"/>
      <c r="E98" s="282"/>
      <c r="F98" s="294"/>
      <c r="G98" s="282"/>
      <c r="H98" s="210"/>
      <c r="I98" s="209"/>
      <c r="J98" s="209"/>
      <c r="K98" s="286"/>
      <c r="L98" s="286"/>
      <c r="M98" s="286"/>
      <c r="N98" s="286"/>
      <c r="O98" s="811"/>
      <c r="P98" s="221">
        <f>SUM(D98:O98)</f>
        <v>0</v>
      </c>
      <c r="R98" s="213">
        <f>SUM(R94:R97)</f>
        <v>3277.3399999999997</v>
      </c>
      <c r="S98" s="213">
        <f>SUM(S94:S97)</f>
        <v>3265</v>
      </c>
    </row>
    <row r="99" spans="1:256" s="213" customFormat="1" ht="12.75" customHeight="1">
      <c r="A99" s="75" t="s">
        <v>122</v>
      </c>
      <c r="B99" s="91" t="s">
        <v>155</v>
      </c>
      <c r="C99" s="77"/>
      <c r="D99" s="742">
        <v>642.59</v>
      </c>
      <c r="E99" s="293">
        <v>663.93</v>
      </c>
      <c r="F99" s="210">
        <v>680.13</v>
      </c>
      <c r="G99" s="210">
        <v>680.13</v>
      </c>
      <c r="H99" s="293">
        <v>497.56</v>
      </c>
      <c r="I99" s="222"/>
      <c r="J99" s="239"/>
      <c r="K99" s="807"/>
      <c r="L99" s="808"/>
      <c r="M99" s="807"/>
      <c r="N99" s="807"/>
      <c r="O99" s="397"/>
      <c r="P99" s="810">
        <f>SUM(D99:O99)</f>
        <v>3164.34</v>
      </c>
    </row>
    <row r="100" spans="1:256" s="213" customFormat="1" ht="12.75" customHeight="1">
      <c r="A100" s="80" t="s">
        <v>156</v>
      </c>
      <c r="B100" s="76" t="s">
        <v>157</v>
      </c>
      <c r="C100" s="77"/>
      <c r="D100" s="210">
        <f>2762+13446.7</f>
        <v>16208.7</v>
      </c>
      <c r="E100" s="210">
        <f>2761+1108.78</f>
        <v>3869.7799999999997</v>
      </c>
      <c r="F100" s="210">
        <v>2761</v>
      </c>
      <c r="G100" s="210"/>
      <c r="H100" s="241">
        <v>3244.1</v>
      </c>
      <c r="I100" s="222">
        <v>3244.1</v>
      </c>
      <c r="J100" s="809">
        <v>3244.1</v>
      </c>
      <c r="K100" s="809">
        <v>3244.1</v>
      </c>
      <c r="L100" s="809">
        <v>3244.1</v>
      </c>
      <c r="M100" s="809">
        <v>3244.1</v>
      </c>
      <c r="N100" s="809">
        <v>3244.1</v>
      </c>
      <c r="O100" s="809">
        <v>3244.1</v>
      </c>
      <c r="P100" s="810">
        <f>SUM(D100:O100)</f>
        <v>48792.279999999992</v>
      </c>
    </row>
    <row r="101" spans="1:256" s="213" customFormat="1" ht="12.75" customHeight="1">
      <c r="A101" s="75" t="s">
        <v>122</v>
      </c>
      <c r="B101" s="91" t="s">
        <v>158</v>
      </c>
      <c r="C101" s="77"/>
      <c r="D101" s="192"/>
      <c r="E101" s="295">
        <v>1630</v>
      </c>
      <c r="F101" s="296"/>
      <c r="G101" s="192"/>
      <c r="H101" s="192"/>
      <c r="I101" s="713"/>
      <c r="J101" s="713"/>
      <c r="K101" s="713"/>
      <c r="L101" s="713"/>
      <c r="M101" s="713"/>
      <c r="N101" s="713"/>
      <c r="O101" s="812"/>
      <c r="P101" s="221">
        <f>SUM(E101:O101)</f>
        <v>1630</v>
      </c>
    </row>
    <row r="102" spans="1:256" s="213" customFormat="1" ht="12.75" customHeight="1">
      <c r="A102" s="75" t="s">
        <v>122</v>
      </c>
      <c r="B102" s="91" t="s">
        <v>159</v>
      </c>
      <c r="C102" s="77"/>
      <c r="D102" s="297"/>
      <c r="E102" s="210">
        <v>9826.7999999999993</v>
      </c>
      <c r="F102" s="78"/>
      <c r="G102" s="78"/>
      <c r="H102" s="78"/>
      <c r="I102" s="78"/>
      <c r="J102" s="184"/>
      <c r="K102" s="192"/>
      <c r="L102" s="192"/>
      <c r="M102" s="192"/>
      <c r="N102" s="192"/>
      <c r="O102" s="456"/>
      <c r="P102" s="221">
        <f>SUM(D102:O102)</f>
        <v>9826.7999999999993</v>
      </c>
    </row>
    <row r="103" spans="1:256" s="213" customFormat="1" ht="12.75" customHeight="1">
      <c r="A103" s="75" t="s">
        <v>122</v>
      </c>
      <c r="B103" s="76" t="s">
        <v>160</v>
      </c>
      <c r="C103" s="298"/>
      <c r="D103" s="239">
        <v>499</v>
      </c>
      <c r="E103" s="293">
        <v>559</v>
      </c>
      <c r="F103" s="296">
        <v>839</v>
      </c>
      <c r="G103" s="296">
        <v>800.03</v>
      </c>
      <c r="H103" s="296">
        <v>799.06</v>
      </c>
      <c r="I103" s="296">
        <v>999</v>
      </c>
      <c r="J103" s="296"/>
      <c r="K103" s="296"/>
      <c r="L103" s="296"/>
      <c r="M103" s="212"/>
      <c r="N103" s="212"/>
      <c r="O103" s="212"/>
      <c r="P103" s="221">
        <f>SUM(D103:O103)</f>
        <v>4495.09</v>
      </c>
    </row>
    <row r="104" spans="1:256" s="213" customFormat="1" ht="12.75" customHeight="1">
      <c r="A104" s="835"/>
      <c r="B104"/>
      <c r="C104" s="2"/>
      <c r="D104" s="300"/>
      <c r="E104" s="82"/>
      <c r="F104" s="82"/>
      <c r="G104" s="82"/>
      <c r="H104" s="82"/>
      <c r="I104" s="82"/>
      <c r="J104" s="6"/>
      <c r="K104" s="81"/>
      <c r="L104" s="2"/>
      <c r="M104" s="81"/>
      <c r="N104" s="81"/>
      <c r="O104" s="81"/>
      <c r="P104" s="81"/>
    </row>
    <row r="105" spans="1:256" s="213" customFormat="1" ht="12.75" customHeight="1">
      <c r="A105" s="835"/>
      <c r="B105" s="835" t="s">
        <v>161</v>
      </c>
      <c r="C105" s="180">
        <f>SUM(C97:C103)</f>
        <v>0</v>
      </c>
      <c r="D105" s="180">
        <f t="shared" ref="D105:P105" si="21">SUM(D97:D103)</f>
        <v>17815.79</v>
      </c>
      <c r="E105" s="180">
        <f t="shared" si="21"/>
        <v>17010.91</v>
      </c>
      <c r="F105" s="180">
        <f t="shared" si="21"/>
        <v>4741.53</v>
      </c>
      <c r="G105" s="180">
        <f t="shared" si="21"/>
        <v>1941.56</v>
      </c>
      <c r="H105" s="180">
        <f t="shared" si="21"/>
        <v>5002.119999999999</v>
      </c>
      <c r="I105" s="180">
        <f t="shared" si="21"/>
        <v>4704.5</v>
      </c>
      <c r="J105" s="180">
        <f t="shared" si="21"/>
        <v>3244.1</v>
      </c>
      <c r="K105" s="180">
        <f t="shared" si="21"/>
        <v>3244.1</v>
      </c>
      <c r="L105" s="180">
        <f t="shared" si="21"/>
        <v>3244.1</v>
      </c>
      <c r="M105" s="180">
        <f t="shared" si="21"/>
        <v>3244.1</v>
      </c>
      <c r="N105" s="180">
        <f t="shared" si="21"/>
        <v>3244.1</v>
      </c>
      <c r="O105" s="180">
        <f t="shared" si="21"/>
        <v>3244.1</v>
      </c>
      <c r="P105" s="180">
        <f t="shared" si="21"/>
        <v>70681.009999999995</v>
      </c>
    </row>
    <row r="106" spans="1:256" s="213" customFormat="1" ht="12.75" customHeight="1">
      <c r="A106" s="896"/>
      <c r="B106" s="896"/>
      <c r="C106" s="896"/>
      <c r="D106" s="896"/>
      <c r="E106" s="896"/>
      <c r="F106" s="896"/>
      <c r="G106" s="896"/>
      <c r="H106" s="896"/>
      <c r="I106" s="896"/>
      <c r="J106" s="896"/>
      <c r="K106" s="896"/>
      <c r="L106" s="896"/>
      <c r="M106" s="896"/>
      <c r="N106" s="896"/>
      <c r="O106" s="896"/>
      <c r="P106" s="896"/>
    </row>
    <row r="107" spans="1:256" s="64" customFormat="1" ht="12.75" customHeight="1">
      <c r="A107" s="248"/>
      <c r="B107" s="838" t="s">
        <v>124</v>
      </c>
      <c r="C107" s="262"/>
      <c r="D107" s="262">
        <f>D49+D73+D56</f>
        <v>164649.79999999999</v>
      </c>
      <c r="E107" s="262">
        <f t="shared" ref="E107:P107" si="22">E49+E73+E56</f>
        <v>117163.02</v>
      </c>
      <c r="F107" s="262">
        <f t="shared" si="22"/>
        <v>112451.30117522654</v>
      </c>
      <c r="G107" s="262">
        <f t="shared" si="22"/>
        <v>132311.96117522655</v>
      </c>
      <c r="H107" s="262">
        <f t="shared" si="22"/>
        <v>109047.30117522654</v>
      </c>
      <c r="I107" s="262">
        <f t="shared" si="22"/>
        <v>240144.46117522652</v>
      </c>
      <c r="J107" s="262">
        <f t="shared" si="22"/>
        <v>188275.48117522657</v>
      </c>
      <c r="K107" s="262">
        <f t="shared" si="22"/>
        <v>164377.18117522652</v>
      </c>
      <c r="L107" s="262">
        <f t="shared" si="22"/>
        <v>137402.88117522653</v>
      </c>
      <c r="M107" s="262">
        <f t="shared" si="22"/>
        <v>84956.981175226538</v>
      </c>
      <c r="N107" s="262">
        <f t="shared" si="22"/>
        <v>236461.64117522654</v>
      </c>
      <c r="O107" s="262">
        <f t="shared" si="22"/>
        <v>246220.68117522655</v>
      </c>
      <c r="P107" s="262">
        <f t="shared" si="22"/>
        <v>1921495.7417522655</v>
      </c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  <c r="IT107" s="18"/>
      <c r="IU107" s="18"/>
      <c r="IV107" s="18"/>
    </row>
    <row r="108" spans="1:256" s="409" customFormat="1" ht="12.75" customHeight="1">
      <c r="A108" s="714"/>
      <c r="B108" s="460" t="s">
        <v>125</v>
      </c>
      <c r="C108" s="715"/>
      <c r="D108" s="715">
        <f>D90+D95+D105+D46+D58+D60+D62+D64</f>
        <v>127233.34000000001</v>
      </c>
      <c r="E108" s="715">
        <f t="shared" ref="E108:P108" si="23">E90+E95+E105+E46+E58+E60+E62+E64</f>
        <v>104459.53000000001</v>
      </c>
      <c r="F108" s="715">
        <f>F90+F95+F105+F46+F58+F60+F62+F64</f>
        <v>62961.4</v>
      </c>
      <c r="G108" s="715">
        <f t="shared" si="23"/>
        <v>72901.86</v>
      </c>
      <c r="H108" s="715">
        <f t="shared" si="23"/>
        <v>64868.89</v>
      </c>
      <c r="I108" s="715">
        <f t="shared" si="23"/>
        <v>137555.60999999999</v>
      </c>
      <c r="J108" s="715">
        <f t="shared" si="23"/>
        <v>104590.60999999999</v>
      </c>
      <c r="K108" s="715">
        <f t="shared" si="23"/>
        <v>84644.739999999991</v>
      </c>
      <c r="L108" s="715">
        <f t="shared" si="23"/>
        <v>64702.12</v>
      </c>
      <c r="M108" s="715">
        <f t="shared" si="23"/>
        <v>24318.609999999997</v>
      </c>
      <c r="N108" s="715">
        <f t="shared" si="23"/>
        <v>124383.08</v>
      </c>
      <c r="O108" s="715">
        <f t="shared" si="23"/>
        <v>123244.1</v>
      </c>
      <c r="P108" s="715">
        <f t="shared" si="23"/>
        <v>1092244.2</v>
      </c>
    </row>
    <row r="109" spans="1:256" s="64" customFormat="1" ht="12.75" customHeight="1">
      <c r="A109" s="248"/>
      <c r="B109" s="838" t="s">
        <v>126</v>
      </c>
      <c r="C109" s="262"/>
      <c r="D109" s="262">
        <f>D107-D108</f>
        <v>37416.459999999977</v>
      </c>
      <c r="E109" s="262">
        <f t="shared" ref="E109:P109" si="24">E107-E108</f>
        <v>12703.489999999991</v>
      </c>
      <c r="F109" s="262">
        <f t="shared" si="24"/>
        <v>49489.901175226543</v>
      </c>
      <c r="G109" s="262">
        <f t="shared" si="24"/>
        <v>59410.101175226548</v>
      </c>
      <c r="H109" s="262">
        <f t="shared" si="24"/>
        <v>44178.411175226545</v>
      </c>
      <c r="I109" s="262">
        <f t="shared" si="24"/>
        <v>102588.85117522653</v>
      </c>
      <c r="J109" s="262">
        <f t="shared" si="24"/>
        <v>83684.871175226581</v>
      </c>
      <c r="K109" s="262">
        <f t="shared" si="24"/>
        <v>79732.44117522653</v>
      </c>
      <c r="L109" s="262">
        <f t="shared" si="24"/>
        <v>72700.761175226537</v>
      </c>
      <c r="M109" s="262">
        <f t="shared" si="24"/>
        <v>60638.371175226537</v>
      </c>
      <c r="N109" s="262">
        <f t="shared" si="24"/>
        <v>112078.56117522654</v>
      </c>
      <c r="O109" s="262">
        <f t="shared" si="24"/>
        <v>122976.58117522654</v>
      </c>
      <c r="P109" s="262">
        <f t="shared" si="24"/>
        <v>829251.54175226553</v>
      </c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  <c r="IF109" s="18"/>
      <c r="IG109" s="18"/>
      <c r="IH109" s="18"/>
      <c r="II109" s="18"/>
      <c r="IJ109" s="18"/>
      <c r="IK109" s="18"/>
      <c r="IL109" s="18"/>
      <c r="IM109" s="18"/>
      <c r="IN109" s="18"/>
      <c r="IO109" s="18"/>
      <c r="IP109" s="18"/>
      <c r="IQ109" s="18"/>
      <c r="IR109" s="18"/>
      <c r="IS109" s="18"/>
      <c r="IT109" s="18"/>
      <c r="IU109" s="18"/>
      <c r="IV109" s="18"/>
    </row>
    <row r="110" spans="1:256" s="213" customFormat="1" ht="25.5">
      <c r="A110" s="893" t="s">
        <v>162</v>
      </c>
      <c r="B110" s="894"/>
      <c r="C110" s="894"/>
      <c r="D110" s="894"/>
      <c r="E110" s="894"/>
      <c r="F110" s="894"/>
      <c r="G110" s="894"/>
      <c r="H110" s="894"/>
      <c r="I110" s="894"/>
      <c r="J110" s="894"/>
      <c r="K110" s="894"/>
      <c r="L110" s="894"/>
      <c r="M110" s="894"/>
      <c r="N110" s="894"/>
      <c r="O110" s="894"/>
      <c r="P110" s="894"/>
    </row>
    <row r="111" spans="1:256" s="64" customFormat="1" ht="12.75">
      <c r="A111" s="302" t="s">
        <v>78</v>
      </c>
      <c r="B111" s="302" t="s">
        <v>102</v>
      </c>
      <c r="C111" s="302" t="s">
        <v>103</v>
      </c>
      <c r="D111" s="656" t="s">
        <v>75</v>
      </c>
      <c r="E111" s="656" t="s">
        <v>76</v>
      </c>
      <c r="F111" s="302" t="s">
        <v>77</v>
      </c>
      <c r="G111" s="302" t="s">
        <v>81</v>
      </c>
      <c r="H111" s="302" t="s">
        <v>82</v>
      </c>
      <c r="I111" s="302" t="s">
        <v>83</v>
      </c>
      <c r="J111" s="302" t="s">
        <v>84</v>
      </c>
      <c r="K111" s="302" t="s">
        <v>85</v>
      </c>
      <c r="L111" s="302" t="s">
        <v>86</v>
      </c>
      <c r="M111" s="302" t="s">
        <v>87</v>
      </c>
      <c r="N111" s="302" t="s">
        <v>88</v>
      </c>
      <c r="O111" s="302" t="s">
        <v>74</v>
      </c>
      <c r="P111" s="302" t="s">
        <v>104</v>
      </c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8"/>
      <c r="IK111" s="18"/>
      <c r="IL111" s="18"/>
      <c r="IM111" s="18"/>
      <c r="IN111" s="18"/>
      <c r="IO111" s="18"/>
      <c r="IP111" s="18"/>
      <c r="IQ111" s="18"/>
      <c r="IR111" s="18"/>
      <c r="IS111" s="18"/>
      <c r="IT111" s="18"/>
      <c r="IU111" s="18"/>
      <c r="IV111" s="18"/>
    </row>
    <row r="112" spans="1:256" s="213" customFormat="1" ht="12.75">
      <c r="A112" s="897" t="s">
        <v>25</v>
      </c>
      <c r="B112" s="895"/>
      <c r="C112" s="895"/>
      <c r="D112" s="895"/>
      <c r="E112" s="895"/>
      <c r="F112" s="895"/>
      <c r="G112" s="895"/>
      <c r="H112" s="895"/>
      <c r="I112" s="895"/>
      <c r="J112" s="895"/>
      <c r="K112" s="895"/>
      <c r="L112" s="895"/>
      <c r="M112" s="895"/>
      <c r="N112" s="895"/>
      <c r="O112" s="895"/>
      <c r="P112" s="898"/>
    </row>
    <row r="113" spans="1:256" s="213" customFormat="1" ht="12.75">
      <c r="A113" s="80" t="s">
        <v>105</v>
      </c>
      <c r="B113" s="76" t="s">
        <v>106</v>
      </c>
      <c r="C113" s="77"/>
      <c r="D113" s="210">
        <f>56517.8*2</f>
        <v>113035.6</v>
      </c>
      <c r="E113" s="210">
        <f>2*20000</f>
        <v>40000</v>
      </c>
      <c r="F113" s="212">
        <f>2*2000+9000*2</f>
        <v>22000</v>
      </c>
      <c r="G113" s="212">
        <f>20000*2</f>
        <v>40000</v>
      </c>
      <c r="H113" s="212">
        <f>2*20000</f>
        <v>40000</v>
      </c>
      <c r="I113" s="212">
        <f>10000*2+30000*2</f>
        <v>80000</v>
      </c>
      <c r="J113" s="288">
        <f>10000*2+20000*2</f>
        <v>60000</v>
      </c>
      <c r="K113" s="212">
        <f>20000*2</f>
        <v>40000</v>
      </c>
      <c r="L113" s="288">
        <f>20000*2</f>
        <v>40000</v>
      </c>
      <c r="M113" s="612">
        <f>20000+20000</f>
        <v>40000</v>
      </c>
      <c r="N113" s="612">
        <f>40000*2</f>
        <v>80000</v>
      </c>
      <c r="O113" s="612">
        <f>40000*2</f>
        <v>80000</v>
      </c>
      <c r="P113" s="79">
        <f>SUM(C113:O113)</f>
        <v>675035.6</v>
      </c>
    </row>
    <row r="114" spans="1:256" s="409" customFormat="1" ht="12.75">
      <c r="A114" s="458" t="s">
        <v>105</v>
      </c>
      <c r="B114" s="417" t="s">
        <v>107</v>
      </c>
      <c r="C114" s="414"/>
      <c r="D114" s="415">
        <v>0</v>
      </c>
      <c r="E114" s="415">
        <f>2*8177.53</f>
        <v>16355.06</v>
      </c>
      <c r="F114" s="461">
        <f>2*738.36+2*3237.16</f>
        <v>7951.04</v>
      </c>
      <c r="G114" s="461">
        <f>7216.71*2</f>
        <v>14433.42</v>
      </c>
      <c r="H114" s="461">
        <f>2*8277.26</f>
        <v>16554.52</v>
      </c>
      <c r="I114" s="461">
        <f>3892.19*2+12415.89*2</f>
        <v>32616.16</v>
      </c>
      <c r="J114" s="568">
        <f>4218.22*2+8826.85*2</f>
        <v>26090.14</v>
      </c>
      <c r="K114" s="461">
        <f>8406.85*2</f>
        <v>16813.7</v>
      </c>
      <c r="L114" s="568">
        <f>9859.45*2</f>
        <v>19718.900000000001</v>
      </c>
      <c r="M114" s="613">
        <f>30271.78*2-20000*2</f>
        <v>20543.559999999998</v>
      </c>
      <c r="N114" s="613">
        <f>17850.69*2</f>
        <v>35701.379999999997</v>
      </c>
      <c r="O114" s="613">
        <f>15449.86*2</f>
        <v>30899.72</v>
      </c>
      <c r="P114" s="462">
        <f>SUM(C114:O114)</f>
        <v>237677.6</v>
      </c>
    </row>
    <row r="115" spans="1:256" s="213" customFormat="1" ht="12.75">
      <c r="A115" s="836"/>
      <c r="B115" s="173"/>
      <c r="C115" s="2"/>
      <c r="D115" s="82"/>
      <c r="E115" s="82"/>
      <c r="F115" s="81"/>
      <c r="G115" s="81"/>
      <c r="H115" s="81"/>
      <c r="I115" s="81"/>
      <c r="J115" s="2"/>
      <c r="K115" s="81"/>
      <c r="L115" s="2"/>
      <c r="M115" s="81"/>
      <c r="N115" s="81"/>
      <c r="O115" s="81"/>
      <c r="P115" s="81"/>
    </row>
    <row r="116" spans="1:256" s="213" customFormat="1" ht="12.75">
      <c r="A116" s="836" t="s">
        <v>105</v>
      </c>
      <c r="B116" s="835" t="s">
        <v>25</v>
      </c>
      <c r="C116" s="2"/>
      <c r="D116" s="82">
        <f>SUM(D113:D114)</f>
        <v>113035.6</v>
      </c>
      <c r="E116" s="82">
        <f t="shared" ref="E116:O116" si="25">SUM(E113:E114)</f>
        <v>56355.06</v>
      </c>
      <c r="F116" s="82">
        <f t="shared" si="25"/>
        <v>29951.040000000001</v>
      </c>
      <c r="G116" s="82">
        <f t="shared" si="25"/>
        <v>54433.42</v>
      </c>
      <c r="H116" s="82">
        <f t="shared" si="25"/>
        <v>56554.520000000004</v>
      </c>
      <c r="I116" s="82">
        <f t="shared" si="25"/>
        <v>112616.16</v>
      </c>
      <c r="J116" s="82">
        <f t="shared" si="25"/>
        <v>86090.14</v>
      </c>
      <c r="K116" s="82">
        <f t="shared" si="25"/>
        <v>56813.7</v>
      </c>
      <c r="L116" s="82">
        <f t="shared" si="25"/>
        <v>59718.9</v>
      </c>
      <c r="M116" s="82">
        <f t="shared" si="25"/>
        <v>60543.56</v>
      </c>
      <c r="N116" s="82">
        <f t="shared" si="25"/>
        <v>115701.38</v>
      </c>
      <c r="O116" s="82">
        <f t="shared" si="25"/>
        <v>110899.72</v>
      </c>
      <c r="P116" s="81">
        <f>SUM(C116:O116)</f>
        <v>912713.20000000007</v>
      </c>
    </row>
    <row r="117" spans="1:256" s="213" customFormat="1" ht="12.75">
      <c r="A117" s="836"/>
      <c r="B117" s="835"/>
      <c r="C117" s="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1"/>
    </row>
    <row r="118" spans="1:256" s="213" customFormat="1" ht="12.75">
      <c r="A118" s="80" t="s">
        <v>105</v>
      </c>
      <c r="B118" s="182" t="s">
        <v>108</v>
      </c>
      <c r="C118" s="78"/>
      <c r="D118" s="210">
        <v>5795.18</v>
      </c>
      <c r="E118" s="210">
        <f>5795.18+879.8</f>
        <v>6674.9800000000005</v>
      </c>
      <c r="F118" s="210">
        <v>6436.63</v>
      </c>
      <c r="G118" s="210">
        <f>F118</f>
        <v>6436.63</v>
      </c>
      <c r="H118" s="210">
        <v>6394.42</v>
      </c>
      <c r="I118" s="210">
        <f>6896.65+1592.66*2</f>
        <v>10081.969999999999</v>
      </c>
      <c r="J118" s="210">
        <v>6896.65</v>
      </c>
      <c r="K118" s="210">
        <v>6896.65</v>
      </c>
      <c r="L118" s="210">
        <v>6896.65</v>
      </c>
      <c r="M118" s="210">
        <f>L118</f>
        <v>6896.65</v>
      </c>
      <c r="N118" s="210">
        <f>M118</f>
        <v>6896.65</v>
      </c>
      <c r="O118" s="78">
        <f>N118/2*3</f>
        <v>10344.974999999999</v>
      </c>
      <c r="P118" s="78">
        <f>SUM(D118:O118)</f>
        <v>86648.035000000003</v>
      </c>
    </row>
    <row r="119" spans="1:256" s="409" customFormat="1" ht="12.75">
      <c r="A119" s="458" t="s">
        <v>105</v>
      </c>
      <c r="B119" s="459" t="s">
        <v>109</v>
      </c>
      <c r="C119" s="416"/>
      <c r="D119" s="415">
        <v>32544.95</v>
      </c>
      <c r="E119" s="415">
        <f>D119</f>
        <v>32544.95</v>
      </c>
      <c r="F119" s="415">
        <f t="shared" ref="F119:N119" si="26">E119</f>
        <v>32544.95</v>
      </c>
      <c r="G119" s="415">
        <f t="shared" si="26"/>
        <v>32544.95</v>
      </c>
      <c r="H119" s="415">
        <f t="shared" si="26"/>
        <v>32544.95</v>
      </c>
      <c r="I119" s="415">
        <f>H119/2*3</f>
        <v>48817.425000000003</v>
      </c>
      <c r="J119" s="415">
        <f>I119/3*2</f>
        <v>32544.95</v>
      </c>
      <c r="K119" s="415">
        <f t="shared" si="26"/>
        <v>32544.95</v>
      </c>
      <c r="L119" s="415">
        <f t="shared" si="26"/>
        <v>32544.95</v>
      </c>
      <c r="M119" s="415">
        <f t="shared" si="26"/>
        <v>32544.95</v>
      </c>
      <c r="N119" s="415">
        <v>40722.839999999997</v>
      </c>
      <c r="O119" s="416">
        <f>N119/2*3</f>
        <v>61084.259999999995</v>
      </c>
      <c r="P119" s="416">
        <f>SUM(D119:O119)</f>
        <v>443529.07500000007</v>
      </c>
    </row>
    <row r="120" spans="1:256" s="213" customFormat="1" ht="12.75">
      <c r="A120" s="80" t="s">
        <v>105</v>
      </c>
      <c r="B120" s="182" t="s">
        <v>110</v>
      </c>
      <c r="C120" s="78"/>
      <c r="D120" s="210">
        <v>9737.42</v>
      </c>
      <c r="E120" s="210">
        <f>D120</f>
        <v>9737.42</v>
      </c>
      <c r="F120" s="210">
        <f t="shared" ref="F120:H121" si="27">E120</f>
        <v>9737.42</v>
      </c>
      <c r="G120" s="210">
        <v>10100.24</v>
      </c>
      <c r="H120" s="210">
        <f t="shared" si="27"/>
        <v>10100.24</v>
      </c>
      <c r="I120" s="210">
        <f>H120/2*3</f>
        <v>15150.36</v>
      </c>
      <c r="J120" s="210">
        <f>I120/3*2</f>
        <v>10100.24</v>
      </c>
      <c r="K120" s="210">
        <f t="shared" ref="K120:N121" si="28">J120</f>
        <v>10100.24</v>
      </c>
      <c r="L120" s="210">
        <f t="shared" si="28"/>
        <v>10100.24</v>
      </c>
      <c r="M120" s="210">
        <f t="shared" si="28"/>
        <v>10100.24</v>
      </c>
      <c r="N120" s="210">
        <f t="shared" si="28"/>
        <v>10100.24</v>
      </c>
      <c r="O120" s="78">
        <f>N120/2*3</f>
        <v>15150.36</v>
      </c>
      <c r="P120" s="78">
        <f>SUM(D120:O120)</f>
        <v>130214.66000000002</v>
      </c>
    </row>
    <row r="121" spans="1:256" s="409" customFormat="1" ht="12.75">
      <c r="A121" s="458" t="s">
        <v>105</v>
      </c>
      <c r="B121" s="459" t="s">
        <v>111</v>
      </c>
      <c r="C121" s="416"/>
      <c r="D121" s="415">
        <v>2279.09</v>
      </c>
      <c r="E121" s="415">
        <f>D121</f>
        <v>2279.09</v>
      </c>
      <c r="F121" s="415">
        <f t="shared" si="27"/>
        <v>2279.09</v>
      </c>
      <c r="G121" s="415">
        <v>2486.59</v>
      </c>
      <c r="H121" s="415">
        <f t="shared" si="27"/>
        <v>2486.59</v>
      </c>
      <c r="I121" s="415">
        <f>H121/2*3</f>
        <v>3729.8850000000002</v>
      </c>
      <c r="J121" s="415">
        <f>H121</f>
        <v>2486.59</v>
      </c>
      <c r="K121" s="415">
        <f t="shared" si="28"/>
        <v>2486.59</v>
      </c>
      <c r="L121" s="415">
        <f t="shared" si="28"/>
        <v>2486.59</v>
      </c>
      <c r="M121" s="415">
        <f t="shared" si="28"/>
        <v>2486.59</v>
      </c>
      <c r="N121" s="415">
        <f t="shared" si="28"/>
        <v>2486.59</v>
      </c>
      <c r="O121" s="416">
        <f>N121/2*3</f>
        <v>3729.8850000000002</v>
      </c>
      <c r="P121" s="416">
        <f>SUM(D121:O121)</f>
        <v>31703.170000000006</v>
      </c>
    </row>
    <row r="122" spans="1:256" s="213" customFormat="1" ht="12.75">
      <c r="A122" s="836"/>
      <c r="B122" s="181"/>
      <c r="C122" s="82"/>
      <c r="D122" s="241"/>
      <c r="E122" s="241"/>
      <c r="F122" s="241"/>
      <c r="G122" s="82"/>
      <c r="H122" s="82"/>
      <c r="I122" s="82"/>
      <c r="J122" s="82"/>
      <c r="K122" s="82"/>
      <c r="L122" s="82"/>
      <c r="M122" s="82"/>
      <c r="N122" s="82"/>
      <c r="O122" s="82"/>
      <c r="P122" s="82"/>
    </row>
    <row r="123" spans="1:256" s="213" customFormat="1" ht="12.75">
      <c r="A123" s="836"/>
      <c r="B123" s="51" t="s">
        <v>127</v>
      </c>
      <c r="C123" s="82"/>
      <c r="D123" s="82">
        <f>SUM(D118:D122)</f>
        <v>50356.639999999999</v>
      </c>
      <c r="E123" s="82">
        <f t="shared" ref="E123:P123" si="29">SUM(E118:E122)</f>
        <v>51236.44</v>
      </c>
      <c r="F123" s="82">
        <f t="shared" si="29"/>
        <v>50998.09</v>
      </c>
      <c r="G123" s="82">
        <f t="shared" si="29"/>
        <v>51568.41</v>
      </c>
      <c r="H123" s="82">
        <f t="shared" si="29"/>
        <v>51526.2</v>
      </c>
      <c r="I123" s="82">
        <f t="shared" si="29"/>
        <v>77779.64</v>
      </c>
      <c r="J123" s="82">
        <f t="shared" si="29"/>
        <v>52028.429999999993</v>
      </c>
      <c r="K123" s="82">
        <f t="shared" si="29"/>
        <v>52028.429999999993</v>
      </c>
      <c r="L123" s="82">
        <f t="shared" si="29"/>
        <v>52028.429999999993</v>
      </c>
      <c r="M123" s="82">
        <f t="shared" si="29"/>
        <v>52028.429999999993</v>
      </c>
      <c r="N123" s="82">
        <f t="shared" si="29"/>
        <v>60206.319999999992</v>
      </c>
      <c r="O123" s="82">
        <f t="shared" si="29"/>
        <v>90309.479999999981</v>
      </c>
      <c r="P123" s="82">
        <f t="shared" si="29"/>
        <v>692094.94000000018</v>
      </c>
    </row>
    <row r="124" spans="1:256" s="213" customFormat="1" ht="12.75">
      <c r="A124" s="836"/>
      <c r="B124" s="181"/>
      <c r="C124" s="82"/>
      <c r="D124" s="241"/>
      <c r="E124" s="241"/>
      <c r="F124" s="241"/>
      <c r="G124" s="82"/>
      <c r="H124" s="82"/>
      <c r="I124" s="82"/>
      <c r="J124" s="82"/>
      <c r="K124" s="82"/>
      <c r="L124" s="82"/>
      <c r="M124" s="82"/>
      <c r="N124" s="82"/>
      <c r="O124" s="82"/>
      <c r="P124" s="82"/>
    </row>
    <row r="125" spans="1:256" s="64" customFormat="1" ht="12.75">
      <c r="A125" s="80" t="s">
        <v>105</v>
      </c>
      <c r="B125" s="179" t="s">
        <v>163</v>
      </c>
      <c r="C125" s="78"/>
      <c r="D125" s="210">
        <v>2000</v>
      </c>
      <c r="E125" s="210">
        <v>2000</v>
      </c>
      <c r="F125" s="210">
        <v>3983.49</v>
      </c>
      <c r="G125" s="210">
        <f>16000-G120-G121</f>
        <v>3413.17</v>
      </c>
      <c r="H125" s="78">
        <f>G125</f>
        <v>3413.17</v>
      </c>
      <c r="I125" s="78">
        <f>H125</f>
        <v>3413.17</v>
      </c>
      <c r="J125" s="78">
        <f>I125</f>
        <v>3413.17</v>
      </c>
      <c r="K125" s="78">
        <f>J125</f>
        <v>3413.17</v>
      </c>
      <c r="L125" s="78">
        <f>K125</f>
        <v>3413.17</v>
      </c>
      <c r="M125" s="78">
        <f>L125</f>
        <v>3413.17</v>
      </c>
      <c r="N125" s="78">
        <f>M125</f>
        <v>3413.17</v>
      </c>
      <c r="O125" s="78">
        <f>N125</f>
        <v>3413.17</v>
      </c>
      <c r="P125" s="78">
        <f>SUM(C125:O125)</f>
        <v>38702.01999999999</v>
      </c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  <c r="II125" s="18"/>
      <c r="IJ125" s="18"/>
      <c r="IK125" s="18"/>
      <c r="IL125" s="18"/>
      <c r="IM125" s="18"/>
      <c r="IN125" s="18"/>
      <c r="IO125" s="18"/>
      <c r="IP125" s="18"/>
      <c r="IQ125" s="18"/>
      <c r="IR125" s="18"/>
      <c r="IS125" s="18"/>
      <c r="IT125" s="18"/>
      <c r="IU125" s="18"/>
      <c r="IV125" s="18"/>
    </row>
    <row r="126" spans="1:256" s="409" customFormat="1" ht="12.75">
      <c r="A126" s="458" t="s">
        <v>105</v>
      </c>
      <c r="B126" s="463" t="s">
        <v>164</v>
      </c>
      <c r="C126" s="416"/>
      <c r="D126" s="407" t="s">
        <v>136</v>
      </c>
      <c r="E126" s="407" t="s">
        <v>136</v>
      </c>
      <c r="F126" s="407" t="s">
        <v>136</v>
      </c>
      <c r="G126" s="415">
        <v>500</v>
      </c>
      <c r="H126" s="415"/>
      <c r="I126" s="415"/>
      <c r="J126" s="415"/>
      <c r="K126" s="415"/>
      <c r="L126" s="415"/>
      <c r="M126" s="415"/>
      <c r="N126" s="415"/>
      <c r="O126" s="415"/>
      <c r="P126" s="416">
        <f>SUM(C126:O126)</f>
        <v>500</v>
      </c>
    </row>
    <row r="127" spans="1:256" s="64" customFormat="1" ht="12.75">
      <c r="A127" s="836"/>
      <c r="B127" s="173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</row>
    <row r="128" spans="1:256" s="64" customFormat="1" ht="12.75">
      <c r="A128" s="836" t="s">
        <v>105</v>
      </c>
      <c r="B128" s="835" t="s">
        <v>165</v>
      </c>
      <c r="C128" s="82"/>
      <c r="D128" s="82">
        <f t="shared" ref="D128:P128" si="30">SUM(D125:D125)</f>
        <v>2000</v>
      </c>
      <c r="E128" s="82">
        <f t="shared" si="30"/>
        <v>2000</v>
      </c>
      <c r="F128" s="82">
        <f t="shared" si="30"/>
        <v>3983.49</v>
      </c>
      <c r="G128" s="82">
        <f>SUM(G125:G126)</f>
        <v>3913.17</v>
      </c>
      <c r="H128" s="82">
        <f t="shared" ref="H128:O128" si="31">SUM(H125:H126)</f>
        <v>3413.17</v>
      </c>
      <c r="I128" s="82">
        <f t="shared" si="31"/>
        <v>3413.17</v>
      </c>
      <c r="J128" s="82">
        <f t="shared" si="31"/>
        <v>3413.17</v>
      </c>
      <c r="K128" s="82">
        <f t="shared" si="31"/>
        <v>3413.17</v>
      </c>
      <c r="L128" s="82">
        <f t="shared" si="31"/>
        <v>3413.17</v>
      </c>
      <c r="M128" s="82">
        <f t="shared" si="31"/>
        <v>3413.17</v>
      </c>
      <c r="N128" s="82">
        <f t="shared" si="31"/>
        <v>3413.17</v>
      </c>
      <c r="O128" s="82">
        <f t="shared" si="31"/>
        <v>3413.17</v>
      </c>
      <c r="P128" s="82">
        <f>SUM(P125:P126)</f>
        <v>39202.01999999999</v>
      </c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  <c r="IK128" s="18"/>
      <c r="IL128" s="18"/>
      <c r="IM128" s="18"/>
      <c r="IN128" s="18"/>
      <c r="IO128" s="18"/>
      <c r="IP128" s="18"/>
      <c r="IQ128" s="18"/>
      <c r="IR128" s="18"/>
      <c r="IS128" s="18"/>
      <c r="IT128" s="18"/>
      <c r="IU128" s="18"/>
      <c r="IV128" s="18"/>
    </row>
    <row r="129" spans="1:256" s="64" customFormat="1" ht="12.75">
      <c r="A129" s="836"/>
      <c r="B129" s="835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</row>
    <row r="130" spans="1:256" ht="12.75">
      <c r="A130" s="218" t="s">
        <v>122</v>
      </c>
      <c r="B130" s="219" t="s">
        <v>40</v>
      </c>
      <c r="C130" s="267" t="s">
        <v>136</v>
      </c>
      <c r="D130" s="267" t="s">
        <v>136</v>
      </c>
      <c r="E130" s="222">
        <v>15000</v>
      </c>
      <c r="F130" s="267" t="s">
        <v>136</v>
      </c>
      <c r="G130" s="267" t="s">
        <v>136</v>
      </c>
      <c r="H130" s="267" t="s">
        <v>136</v>
      </c>
      <c r="I130" s="267" t="s">
        <v>136</v>
      </c>
      <c r="J130" s="267" t="s">
        <v>136</v>
      </c>
      <c r="K130" s="267" t="s">
        <v>136</v>
      </c>
      <c r="L130" s="267" t="s">
        <v>136</v>
      </c>
      <c r="M130" s="267" t="s">
        <v>136</v>
      </c>
      <c r="N130" s="267" t="s">
        <v>136</v>
      </c>
      <c r="O130" s="221"/>
      <c r="P130" s="817">
        <f>SUM(C130:O130)</f>
        <v>15000</v>
      </c>
    </row>
    <row r="131" spans="1:256" s="409" customFormat="1" ht="12.75">
      <c r="A131" s="218" t="s">
        <v>122</v>
      </c>
      <c r="B131" s="464" t="s">
        <v>166</v>
      </c>
      <c r="C131" s="267" t="s">
        <v>136</v>
      </c>
      <c r="D131" s="267" t="s">
        <v>136</v>
      </c>
      <c r="E131" s="267" t="s">
        <v>136</v>
      </c>
      <c r="F131" s="406">
        <v>20000</v>
      </c>
      <c r="G131" s="267" t="s">
        <v>136</v>
      </c>
      <c r="H131" s="267" t="s">
        <v>136</v>
      </c>
      <c r="I131" s="267" t="s">
        <v>136</v>
      </c>
      <c r="J131" s="267" t="s">
        <v>136</v>
      </c>
      <c r="K131" s="267" t="s">
        <v>136</v>
      </c>
      <c r="L131" s="267" t="s">
        <v>136</v>
      </c>
      <c r="M131" s="267" t="s">
        <v>136</v>
      </c>
      <c r="N131" s="267" t="s">
        <v>136</v>
      </c>
      <c r="O131" s="466"/>
      <c r="P131" s="467">
        <f>SUM(C131:O131)</f>
        <v>20000</v>
      </c>
    </row>
    <row r="132" spans="1:256" s="213" customFormat="1" ht="12.75">
      <c r="A132" s="218" t="s">
        <v>122</v>
      </c>
      <c r="B132" s="219" t="s">
        <v>167</v>
      </c>
      <c r="C132" s="267" t="s">
        <v>136</v>
      </c>
      <c r="D132" s="267" t="s">
        <v>136</v>
      </c>
      <c r="E132" s="267" t="s">
        <v>136</v>
      </c>
      <c r="F132" s="267" t="s">
        <v>136</v>
      </c>
      <c r="G132" s="222">
        <v>10000</v>
      </c>
      <c r="H132" s="267" t="s">
        <v>136</v>
      </c>
      <c r="I132" s="267" t="s">
        <v>136</v>
      </c>
      <c r="J132" s="267" t="s">
        <v>136</v>
      </c>
      <c r="K132" s="267" t="s">
        <v>136</v>
      </c>
      <c r="L132" s="267" t="s">
        <v>136</v>
      </c>
      <c r="M132" s="267" t="s">
        <v>136</v>
      </c>
      <c r="N132" s="222">
        <v>10000</v>
      </c>
      <c r="O132" s="221"/>
      <c r="P132" s="817">
        <f>SUM(D132:O132)</f>
        <v>20000</v>
      </c>
    </row>
    <row r="133" spans="1:256" ht="12.75">
      <c r="A133" s="836"/>
      <c r="C133" s="6"/>
      <c r="D133" s="82"/>
      <c r="E133" s="82"/>
      <c r="F133" s="82"/>
      <c r="G133" s="82"/>
      <c r="H133" s="82"/>
      <c r="I133" s="241"/>
      <c r="J133" s="82"/>
      <c r="K133" s="241"/>
      <c r="L133" s="241"/>
      <c r="M133" s="82"/>
      <c r="N133" s="82"/>
      <c r="O133" s="82"/>
      <c r="P133" s="242"/>
    </row>
    <row r="134" spans="1:256" ht="12.75">
      <c r="A134" s="836"/>
      <c r="B134" s="835" t="s">
        <v>168</v>
      </c>
      <c r="C134" s="6"/>
      <c r="D134" s="82"/>
      <c r="E134" s="82">
        <f>SUM(E130:E132)</f>
        <v>15000</v>
      </c>
      <c r="F134" s="82">
        <f t="shared" ref="F134:P134" si="32">SUM(F130:F132)</f>
        <v>20000</v>
      </c>
      <c r="G134" s="82">
        <f t="shared" si="32"/>
        <v>10000</v>
      </c>
      <c r="H134" s="82">
        <f t="shared" si="32"/>
        <v>0</v>
      </c>
      <c r="I134" s="82">
        <f t="shared" si="32"/>
        <v>0</v>
      </c>
      <c r="J134" s="82">
        <f t="shared" si="32"/>
        <v>0</v>
      </c>
      <c r="K134" s="82">
        <f t="shared" si="32"/>
        <v>0</v>
      </c>
      <c r="L134" s="82">
        <f t="shared" si="32"/>
        <v>0</v>
      </c>
      <c r="M134" s="82">
        <f t="shared" si="32"/>
        <v>0</v>
      </c>
      <c r="N134" s="82">
        <f t="shared" si="32"/>
        <v>10000</v>
      </c>
      <c r="O134" s="82">
        <f t="shared" si="32"/>
        <v>0</v>
      </c>
      <c r="P134" s="82">
        <f t="shared" si="32"/>
        <v>55000</v>
      </c>
    </row>
    <row r="135" spans="1:256" ht="12.75">
      <c r="A135" s="836"/>
      <c r="C135" s="6"/>
      <c r="D135" s="82"/>
      <c r="E135" s="82"/>
      <c r="F135" s="82"/>
      <c r="G135" s="82"/>
      <c r="H135" s="82"/>
      <c r="I135" s="241"/>
      <c r="J135" s="82"/>
      <c r="K135" s="241"/>
      <c r="L135" s="241"/>
      <c r="M135" s="82"/>
      <c r="N135" s="82"/>
      <c r="O135" s="82"/>
      <c r="P135" s="242"/>
    </row>
    <row r="136" spans="1:256" s="213" customFormat="1" ht="12.75">
      <c r="A136" s="264">
        <v>60</v>
      </c>
      <c r="B136" s="265" t="s">
        <v>169</v>
      </c>
      <c r="C136" s="266"/>
      <c r="D136" s="222">
        <v>480</v>
      </c>
      <c r="E136" s="267" t="s">
        <v>136</v>
      </c>
      <c r="F136" s="267" t="s">
        <v>136</v>
      </c>
      <c r="G136" s="267" t="s">
        <v>136</v>
      </c>
      <c r="H136" s="267" t="s">
        <v>136</v>
      </c>
      <c r="I136" s="267" t="s">
        <v>136</v>
      </c>
      <c r="J136" s="267" t="s">
        <v>136</v>
      </c>
      <c r="K136" s="267" t="s">
        <v>136</v>
      </c>
      <c r="L136" s="267" t="s">
        <v>136</v>
      </c>
      <c r="M136" s="267" t="s">
        <v>136</v>
      </c>
      <c r="N136" s="267" t="s">
        <v>136</v>
      </c>
      <c r="O136" s="267" t="s">
        <v>136</v>
      </c>
      <c r="P136" s="268">
        <f>SUM(C136:O136)</f>
        <v>480</v>
      </c>
    </row>
    <row r="137" spans="1:256" s="409" customFormat="1" ht="12.75">
      <c r="A137" s="403">
        <v>61</v>
      </c>
      <c r="B137" s="404" t="s">
        <v>40</v>
      </c>
      <c r="C137" s="405"/>
      <c r="D137" s="406">
        <v>2400</v>
      </c>
      <c r="E137" s="406">
        <v>2400</v>
      </c>
      <c r="F137" s="407" t="s">
        <v>136</v>
      </c>
      <c r="G137" s="407" t="s">
        <v>136</v>
      </c>
      <c r="H137" s="407" t="s">
        <v>136</v>
      </c>
      <c r="I137" s="407" t="s">
        <v>136</v>
      </c>
      <c r="J137" s="407" t="s">
        <v>136</v>
      </c>
      <c r="K137" s="407" t="s">
        <v>136</v>
      </c>
      <c r="L137" s="407" t="s">
        <v>136</v>
      </c>
      <c r="M137" s="407" t="s">
        <v>136</v>
      </c>
      <c r="N137" s="407" t="s">
        <v>136</v>
      </c>
      <c r="O137" s="407" t="s">
        <v>136</v>
      </c>
      <c r="P137" s="408">
        <f t="shared" ref="P137:P144" si="33">SUM(C137:O137)</f>
        <v>4800</v>
      </c>
    </row>
    <row r="138" spans="1:256" s="213" customFormat="1" ht="12.75">
      <c r="A138" s="264">
        <v>62</v>
      </c>
      <c r="B138" s="265" t="s">
        <v>170</v>
      </c>
      <c r="C138" s="266"/>
      <c r="D138" s="222">
        <v>1200</v>
      </c>
      <c r="E138" s="222">
        <v>1200</v>
      </c>
      <c r="F138" s="267" t="s">
        <v>136</v>
      </c>
      <c r="G138" s="267" t="s">
        <v>136</v>
      </c>
      <c r="H138" s="267" t="s">
        <v>136</v>
      </c>
      <c r="I138" s="267" t="s">
        <v>136</v>
      </c>
      <c r="J138" s="267" t="s">
        <v>136</v>
      </c>
      <c r="K138" s="267" t="s">
        <v>136</v>
      </c>
      <c r="L138" s="267" t="s">
        <v>136</v>
      </c>
      <c r="M138" s="267" t="s">
        <v>136</v>
      </c>
      <c r="N138" s="267" t="s">
        <v>136</v>
      </c>
      <c r="O138" s="267" t="s">
        <v>136</v>
      </c>
      <c r="P138" s="268">
        <f t="shared" si="33"/>
        <v>2400</v>
      </c>
    </row>
    <row r="139" spans="1:256" s="409" customFormat="1" ht="12.75">
      <c r="A139" s="403">
        <v>63</v>
      </c>
      <c r="B139" s="404" t="s">
        <v>169</v>
      </c>
      <c r="C139" s="411">
        <v>-235</v>
      </c>
      <c r="D139" s="406">
        <v>480</v>
      </c>
      <c r="E139" s="406">
        <v>480</v>
      </c>
      <c r="F139" s="407" t="s">
        <v>136</v>
      </c>
      <c r="G139" s="407" t="s">
        <v>136</v>
      </c>
      <c r="H139" s="407" t="s">
        <v>136</v>
      </c>
      <c r="I139" s="407" t="s">
        <v>136</v>
      </c>
      <c r="J139" s="407" t="s">
        <v>136</v>
      </c>
      <c r="K139" s="407" t="s">
        <v>136</v>
      </c>
      <c r="L139" s="407" t="s">
        <v>136</v>
      </c>
      <c r="M139" s="407" t="s">
        <v>136</v>
      </c>
      <c r="N139" s="407" t="s">
        <v>136</v>
      </c>
      <c r="O139" s="407" t="s">
        <v>136</v>
      </c>
      <c r="P139" s="408">
        <f t="shared" si="33"/>
        <v>725</v>
      </c>
    </row>
    <row r="140" spans="1:256" s="213" customFormat="1" ht="12.75">
      <c r="A140" s="75">
        <v>64</v>
      </c>
      <c r="B140" s="269" t="s">
        <v>171</v>
      </c>
      <c r="C140" s="270"/>
      <c r="D140" s="271">
        <v>2400</v>
      </c>
      <c r="E140" s="271">
        <v>2400</v>
      </c>
      <c r="F140" s="272">
        <v>2400</v>
      </c>
      <c r="G140" s="273" t="s">
        <v>136</v>
      </c>
      <c r="H140" s="273" t="s">
        <v>136</v>
      </c>
      <c r="I140" s="273" t="s">
        <v>136</v>
      </c>
      <c r="J140" s="273" t="s">
        <v>136</v>
      </c>
      <c r="K140" s="273" t="s">
        <v>136</v>
      </c>
      <c r="L140" s="273" t="s">
        <v>136</v>
      </c>
      <c r="M140" s="273" t="s">
        <v>136</v>
      </c>
      <c r="N140" s="273" t="s">
        <v>136</v>
      </c>
      <c r="O140" s="273" t="s">
        <v>136</v>
      </c>
      <c r="P140" s="78">
        <f t="shared" si="33"/>
        <v>7200</v>
      </c>
    </row>
    <row r="141" spans="1:256" s="409" customFormat="1" ht="12.75">
      <c r="A141" s="412">
        <v>65</v>
      </c>
      <c r="B141" s="413" t="s">
        <v>172</v>
      </c>
      <c r="C141" s="414"/>
      <c r="D141" s="415">
        <v>3850</v>
      </c>
      <c r="E141" s="415">
        <v>3850</v>
      </c>
      <c r="F141" s="415">
        <v>3850</v>
      </c>
      <c r="G141" s="407" t="s">
        <v>136</v>
      </c>
      <c r="H141" s="407" t="s">
        <v>136</v>
      </c>
      <c r="I141" s="407" t="s">
        <v>136</v>
      </c>
      <c r="J141" s="407" t="s">
        <v>136</v>
      </c>
      <c r="K141" s="407" t="s">
        <v>136</v>
      </c>
      <c r="L141" s="407" t="s">
        <v>136</v>
      </c>
      <c r="M141" s="407" t="s">
        <v>136</v>
      </c>
      <c r="N141" s="407" t="s">
        <v>136</v>
      </c>
      <c r="O141" s="407" t="s">
        <v>136</v>
      </c>
      <c r="P141" s="416">
        <f t="shared" si="33"/>
        <v>11550</v>
      </c>
    </row>
    <row r="142" spans="1:256" s="213" customFormat="1" ht="12.75">
      <c r="A142" s="75">
        <v>66</v>
      </c>
      <c r="B142" s="76" t="s">
        <v>173</v>
      </c>
      <c r="C142" s="77"/>
      <c r="D142" s="210">
        <v>1450</v>
      </c>
      <c r="E142" s="210">
        <v>1450</v>
      </c>
      <c r="F142" s="210">
        <v>1450</v>
      </c>
      <c r="G142" s="267" t="s">
        <v>136</v>
      </c>
      <c r="H142" s="267" t="s">
        <v>136</v>
      </c>
      <c r="I142" s="267" t="s">
        <v>136</v>
      </c>
      <c r="J142" s="267" t="s">
        <v>136</v>
      </c>
      <c r="K142" s="267" t="s">
        <v>136</v>
      </c>
      <c r="L142" s="267" t="s">
        <v>136</v>
      </c>
      <c r="M142" s="267" t="s">
        <v>136</v>
      </c>
      <c r="N142" s="267" t="s">
        <v>136</v>
      </c>
      <c r="O142" s="267" t="s">
        <v>136</v>
      </c>
      <c r="P142" s="78">
        <f t="shared" si="33"/>
        <v>4350</v>
      </c>
    </row>
    <row r="143" spans="1:256" s="409" customFormat="1" ht="12.75">
      <c r="A143" s="412">
        <v>68</v>
      </c>
      <c r="B143" s="417" t="s">
        <v>40</v>
      </c>
      <c r="C143" s="418"/>
      <c r="D143" s="415">
        <v>2400</v>
      </c>
      <c r="E143" s="415">
        <v>2400</v>
      </c>
      <c r="F143" s="415">
        <v>2400</v>
      </c>
      <c r="G143" s="415">
        <v>2400</v>
      </c>
      <c r="H143" s="415">
        <v>2400</v>
      </c>
      <c r="I143" s="415">
        <v>2400</v>
      </c>
      <c r="J143" s="415">
        <v>2400</v>
      </c>
      <c r="K143" s="407" t="s">
        <v>136</v>
      </c>
      <c r="L143" s="407" t="s">
        <v>136</v>
      </c>
      <c r="M143" s="407" t="s">
        <v>136</v>
      </c>
      <c r="N143" s="407" t="s">
        <v>136</v>
      </c>
      <c r="O143" s="407" t="s">
        <v>136</v>
      </c>
      <c r="P143" s="416">
        <f t="shared" si="33"/>
        <v>16800</v>
      </c>
    </row>
    <row r="144" spans="1:256" s="213" customFormat="1" ht="12.75">
      <c r="A144" s="274">
        <v>69</v>
      </c>
      <c r="B144" s="172" t="s">
        <v>174</v>
      </c>
      <c r="C144" s="188"/>
      <c r="D144" s="209">
        <v>2400</v>
      </c>
      <c r="E144" s="209">
        <v>2400</v>
      </c>
      <c r="F144" s="209">
        <v>2400</v>
      </c>
      <c r="G144" s="209">
        <v>2400</v>
      </c>
      <c r="H144" s="209">
        <v>2400</v>
      </c>
      <c r="I144" s="267" t="s">
        <v>136</v>
      </c>
      <c r="J144" s="267" t="s">
        <v>136</v>
      </c>
      <c r="K144" s="267" t="s">
        <v>136</v>
      </c>
      <c r="L144" s="276" t="s">
        <v>136</v>
      </c>
      <c r="M144" s="276" t="s">
        <v>136</v>
      </c>
      <c r="N144" s="276" t="s">
        <v>136</v>
      </c>
      <c r="O144" s="276" t="s">
        <v>136</v>
      </c>
      <c r="P144" s="187">
        <f t="shared" si="33"/>
        <v>12000</v>
      </c>
    </row>
    <row r="145" spans="1:16" s="424" customFormat="1" ht="12.75">
      <c r="A145" s="419">
        <v>70</v>
      </c>
      <c r="B145" s="420" t="s">
        <v>175</v>
      </c>
      <c r="C145" s="421"/>
      <c r="D145" s="422">
        <v>3600</v>
      </c>
      <c r="E145" s="422">
        <v>3600</v>
      </c>
      <c r="F145" s="422">
        <v>3600</v>
      </c>
      <c r="G145" s="422">
        <v>3600</v>
      </c>
      <c r="H145" s="422">
        <v>3600</v>
      </c>
      <c r="I145" s="422">
        <v>3600</v>
      </c>
      <c r="J145" s="422">
        <v>3600</v>
      </c>
      <c r="K145" s="422">
        <v>3600</v>
      </c>
      <c r="L145" s="422">
        <v>3600</v>
      </c>
      <c r="M145" s="407" t="s">
        <v>136</v>
      </c>
      <c r="N145" s="407" t="s">
        <v>136</v>
      </c>
      <c r="O145" s="407" t="s">
        <v>136</v>
      </c>
      <c r="P145" s="423">
        <f>SUM(E145:O145)</f>
        <v>28800</v>
      </c>
    </row>
    <row r="146" spans="1:16" s="214" customFormat="1" ht="12.75">
      <c r="A146" s="280">
        <v>71</v>
      </c>
      <c r="B146" s="281" t="s">
        <v>40</v>
      </c>
      <c r="C146" s="277"/>
      <c r="D146" s="278">
        <v>1200</v>
      </c>
      <c r="E146" s="278">
        <v>1200</v>
      </c>
      <c r="F146" s="278">
        <v>1200</v>
      </c>
      <c r="G146" s="278">
        <v>1200</v>
      </c>
      <c r="H146" s="278">
        <v>1200</v>
      </c>
      <c r="I146" s="278">
        <v>1200</v>
      </c>
      <c r="J146" s="278">
        <v>1200</v>
      </c>
      <c r="K146" s="278">
        <v>1200</v>
      </c>
      <c r="L146" s="278">
        <v>1200</v>
      </c>
      <c r="M146" s="652">
        <v>1200</v>
      </c>
      <c r="N146" s="267" t="s">
        <v>136</v>
      </c>
      <c r="O146" s="267" t="s">
        <v>136</v>
      </c>
      <c r="P146" s="279">
        <f>SUM(E146:O146)</f>
        <v>10800</v>
      </c>
    </row>
    <row r="147" spans="1:16" s="424" customFormat="1" ht="12.75">
      <c r="A147" s="425">
        <v>72</v>
      </c>
      <c r="B147" s="426" t="s">
        <v>128</v>
      </c>
      <c r="C147" s="421"/>
      <c r="D147" s="407" t="s">
        <v>136</v>
      </c>
      <c r="E147" s="407" t="s">
        <v>136</v>
      </c>
      <c r="F147" s="407" t="s">
        <v>136</v>
      </c>
      <c r="G147" s="422">
        <v>1800</v>
      </c>
      <c r="H147" s="422">
        <v>1800</v>
      </c>
      <c r="I147" s="422">
        <v>1800</v>
      </c>
      <c r="J147" s="422">
        <v>1800</v>
      </c>
      <c r="K147" s="422">
        <v>1800</v>
      </c>
      <c r="L147" s="422">
        <v>1800</v>
      </c>
      <c r="M147" s="422">
        <v>1800</v>
      </c>
      <c r="N147" s="422">
        <v>1800</v>
      </c>
      <c r="O147" s="422">
        <v>1800</v>
      </c>
      <c r="P147" s="423">
        <f t="shared" ref="P147:P149" si="34">SUM(E147:O147)</f>
        <v>16200</v>
      </c>
    </row>
    <row r="148" spans="1:16" s="214" customFormat="1" ht="12.75">
      <c r="A148" s="391">
        <v>73</v>
      </c>
      <c r="B148" s="392" t="s">
        <v>130</v>
      </c>
      <c r="C148" s="276"/>
      <c r="D148" s="276" t="s">
        <v>136</v>
      </c>
      <c r="E148" s="276" t="s">
        <v>136</v>
      </c>
      <c r="F148" s="276" t="s">
        <v>136</v>
      </c>
      <c r="G148" s="402">
        <v>2400</v>
      </c>
      <c r="H148" s="402">
        <v>2400</v>
      </c>
      <c r="I148" s="402">
        <v>2400</v>
      </c>
      <c r="J148" s="402">
        <v>2400</v>
      </c>
      <c r="K148" s="402">
        <v>2400</v>
      </c>
      <c r="L148" s="402">
        <v>2400</v>
      </c>
      <c r="M148" s="402">
        <v>2400</v>
      </c>
      <c r="N148" s="402">
        <v>2400</v>
      </c>
      <c r="O148" s="402">
        <v>2400</v>
      </c>
      <c r="P148" s="393">
        <f t="shared" si="34"/>
        <v>21600</v>
      </c>
    </row>
    <row r="149" spans="1:16" s="424" customFormat="1" ht="12.75">
      <c r="A149" s="425">
        <v>74</v>
      </c>
      <c r="B149" s="417" t="s">
        <v>132</v>
      </c>
      <c r="C149" s="427"/>
      <c r="D149" s="407" t="s">
        <v>136</v>
      </c>
      <c r="E149" s="407" t="s">
        <v>136</v>
      </c>
      <c r="F149" s="407" t="s">
        <v>136</v>
      </c>
      <c r="G149" s="407" t="s">
        <v>136</v>
      </c>
      <c r="H149" s="457">
        <v>1200</v>
      </c>
      <c r="I149" s="422">
        <v>1200</v>
      </c>
      <c r="J149" s="422">
        <v>1200</v>
      </c>
      <c r="K149" s="422">
        <v>1200</v>
      </c>
      <c r="L149" s="422">
        <v>1200</v>
      </c>
      <c r="M149" s="422">
        <v>1200</v>
      </c>
      <c r="N149" s="422">
        <v>1200</v>
      </c>
      <c r="O149" s="655">
        <v>1200</v>
      </c>
      <c r="P149" s="423">
        <f t="shared" si="34"/>
        <v>9600</v>
      </c>
    </row>
    <row r="150" spans="1:16" s="424" customFormat="1" ht="12.75">
      <c r="A150" s="425">
        <v>75</v>
      </c>
      <c r="B150" s="417" t="s">
        <v>134</v>
      </c>
      <c r="C150" s="427"/>
      <c r="D150" s="407" t="s">
        <v>136</v>
      </c>
      <c r="E150" s="407" t="s">
        <v>136</v>
      </c>
      <c r="F150" s="407" t="s">
        <v>136</v>
      </c>
      <c r="G150" s="407" t="s">
        <v>136</v>
      </c>
      <c r="H150" s="407" t="s">
        <v>136</v>
      </c>
      <c r="I150" s="407" t="s">
        <v>136</v>
      </c>
      <c r="J150" s="407" t="s">
        <v>136</v>
      </c>
      <c r="K150" s="407" t="s">
        <v>136</v>
      </c>
      <c r="L150" s="407" t="s">
        <v>136</v>
      </c>
      <c r="M150" s="407" t="s">
        <v>136</v>
      </c>
      <c r="N150" s="407" t="s">
        <v>136</v>
      </c>
      <c r="O150" s="655">
        <v>1200</v>
      </c>
      <c r="P150" s="423">
        <f t="shared" ref="P150" si="35">SUM(E150:O150)</f>
        <v>1200</v>
      </c>
    </row>
    <row r="151" spans="1:16" s="213" customFormat="1" ht="12.75">
      <c r="A151" s="835"/>
      <c r="B151" s="173"/>
      <c r="C151" s="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</row>
    <row r="152" spans="1:16" s="213" customFormat="1" ht="12.75">
      <c r="A152" s="835"/>
      <c r="B152" s="835" t="s">
        <v>176</v>
      </c>
      <c r="C152" s="2"/>
      <c r="D152" s="82">
        <f>SUM(D136:D149)</f>
        <v>21860</v>
      </c>
      <c r="E152" s="82">
        <f t="shared" ref="E152:N152" si="36">SUM(E136:E149)</f>
        <v>21380</v>
      </c>
      <c r="F152" s="82">
        <f t="shared" si="36"/>
        <v>17300</v>
      </c>
      <c r="G152" s="82">
        <f>SUM(G136:G149)</f>
        <v>13800</v>
      </c>
      <c r="H152" s="82">
        <f t="shared" si="36"/>
        <v>15000</v>
      </c>
      <c r="I152" s="82">
        <f t="shared" si="36"/>
        <v>12600</v>
      </c>
      <c r="J152" s="82">
        <f t="shared" si="36"/>
        <v>12600</v>
      </c>
      <c r="K152" s="82">
        <f t="shared" si="36"/>
        <v>10200</v>
      </c>
      <c r="L152" s="82">
        <f t="shared" si="36"/>
        <v>10200</v>
      </c>
      <c r="M152" s="82">
        <f t="shared" si="36"/>
        <v>6600</v>
      </c>
      <c r="N152" s="82">
        <f t="shared" si="36"/>
        <v>5400</v>
      </c>
      <c r="O152" s="82">
        <f>SUM(O136:O150)</f>
        <v>6600</v>
      </c>
      <c r="P152" s="82">
        <f>SUM(P136:P150)</f>
        <v>148505</v>
      </c>
    </row>
    <row r="153" spans="1:16" s="213" customFormat="1" ht="12.75">
      <c r="A153" s="835"/>
      <c r="B153" s="835"/>
      <c r="C153" s="835"/>
      <c r="D153" s="835"/>
      <c r="E153" s="835"/>
      <c r="F153" s="835"/>
      <c r="G153" s="835"/>
      <c r="H153" s="835"/>
      <c r="I153" s="835"/>
      <c r="J153" s="835"/>
      <c r="K153" s="835"/>
      <c r="L153" s="835"/>
      <c r="M153" s="835"/>
      <c r="N153" s="835"/>
      <c r="O153" s="835"/>
      <c r="P153" s="835"/>
    </row>
    <row r="154" spans="1:16" s="213" customFormat="1" ht="12.75">
      <c r="A154" s="80">
        <v>20</v>
      </c>
      <c r="B154" s="76" t="s">
        <v>38</v>
      </c>
      <c r="C154" s="74">
        <v>0</v>
      </c>
      <c r="D154" s="211">
        <v>7000</v>
      </c>
      <c r="E154" s="211">
        <v>7000</v>
      </c>
      <c r="F154" s="211">
        <v>7000</v>
      </c>
      <c r="G154" s="211">
        <v>7000</v>
      </c>
      <c r="H154" s="211">
        <v>7000</v>
      </c>
      <c r="I154" s="211">
        <v>7000</v>
      </c>
      <c r="J154" s="211">
        <v>7000</v>
      </c>
      <c r="K154" s="211">
        <v>7000</v>
      </c>
      <c r="L154" s="211">
        <v>7000</v>
      </c>
      <c r="M154" s="211">
        <v>7000</v>
      </c>
      <c r="N154" s="211">
        <v>7000</v>
      </c>
      <c r="O154" s="211">
        <v>7000</v>
      </c>
      <c r="P154" s="74">
        <f>SUM(D154:O154)</f>
        <v>84000</v>
      </c>
    </row>
    <row r="155" spans="1:16" s="213" customFormat="1" ht="12.75">
      <c r="A155" s="80" t="s">
        <v>122</v>
      </c>
      <c r="B155" s="76" t="s">
        <v>137</v>
      </c>
      <c r="C155" s="74">
        <v>0</v>
      </c>
      <c r="D155" s="74"/>
      <c r="E155" s="74"/>
      <c r="F155" s="74"/>
      <c r="G155" s="74"/>
      <c r="H155" s="74"/>
      <c r="I155" s="211"/>
      <c r="J155" s="74"/>
      <c r="K155" s="74"/>
      <c r="L155" s="74"/>
      <c r="M155" s="211"/>
      <c r="N155" s="74"/>
      <c r="O155" s="211"/>
      <c r="P155" s="74">
        <f t="shared" ref="P155:P166" si="37">SUM(D155:O155)</f>
        <v>0</v>
      </c>
    </row>
    <row r="156" spans="1:16" s="213" customFormat="1" ht="12.75">
      <c r="A156" s="174" t="s">
        <v>122</v>
      </c>
      <c r="B156" s="172" t="s">
        <v>138</v>
      </c>
      <c r="C156" s="175">
        <v>0</v>
      </c>
      <c r="D156" s="175"/>
      <c r="E156" s="175"/>
      <c r="F156" s="175"/>
      <c r="G156" s="175"/>
      <c r="H156" s="175"/>
      <c r="I156" s="554"/>
      <c r="J156" s="175"/>
      <c r="K156" s="175"/>
      <c r="L156" s="175"/>
      <c r="M156" s="554"/>
      <c r="N156" s="175"/>
      <c r="O156" s="554"/>
      <c r="P156" s="74">
        <f t="shared" si="37"/>
        <v>0</v>
      </c>
    </row>
    <row r="157" spans="1:16" s="213" customFormat="1" ht="12.75">
      <c r="A157" s="80" t="s">
        <v>122</v>
      </c>
      <c r="B157" s="91" t="s">
        <v>139</v>
      </c>
      <c r="C157" s="77">
        <v>0</v>
      </c>
      <c r="D157" s="282"/>
      <c r="E157" s="78"/>
      <c r="F157" s="79"/>
      <c r="G157" s="79"/>
      <c r="H157" s="79"/>
      <c r="I157" s="212"/>
      <c r="J157" s="77"/>
      <c r="K157" s="283"/>
      <c r="L157" s="77"/>
      <c r="M157" s="212"/>
      <c r="N157" s="79"/>
      <c r="O157" s="212"/>
      <c r="P157" s="74">
        <f t="shared" si="37"/>
        <v>0</v>
      </c>
    </row>
    <row r="158" spans="1:16" s="213" customFormat="1" ht="12.75">
      <c r="A158" s="75" t="s">
        <v>122</v>
      </c>
      <c r="B158" s="76" t="s">
        <v>140</v>
      </c>
      <c r="C158" s="77">
        <v>0</v>
      </c>
      <c r="D158" s="282"/>
      <c r="E158" s="78"/>
      <c r="F158" s="79"/>
      <c r="G158" s="79"/>
      <c r="H158" s="79"/>
      <c r="I158" s="555"/>
      <c r="J158" s="284"/>
      <c r="K158" s="284"/>
      <c r="L158" s="284"/>
      <c r="M158" s="555"/>
      <c r="N158" s="284"/>
      <c r="O158" s="212"/>
      <c r="P158" s="74">
        <f t="shared" si="37"/>
        <v>0</v>
      </c>
    </row>
    <row r="159" spans="1:16" s="213" customFormat="1" ht="12.75">
      <c r="A159" s="80" t="s">
        <v>122</v>
      </c>
      <c r="B159" s="91" t="s">
        <v>141</v>
      </c>
      <c r="C159" s="77">
        <v>0</v>
      </c>
      <c r="D159" s="78"/>
      <c r="E159" s="78"/>
      <c r="F159" s="79"/>
      <c r="G159" s="79"/>
      <c r="H159" s="79"/>
      <c r="I159" s="212"/>
      <c r="J159" s="79"/>
      <c r="K159" s="79"/>
      <c r="L159" s="79"/>
      <c r="M159" s="212"/>
      <c r="N159" s="79"/>
      <c r="O159" s="212"/>
      <c r="P159" s="74">
        <f t="shared" si="37"/>
        <v>0</v>
      </c>
    </row>
    <row r="160" spans="1:16" s="213" customFormat="1" ht="12.75">
      <c r="A160" s="80" t="s">
        <v>122</v>
      </c>
      <c r="B160" s="91" t="s">
        <v>142</v>
      </c>
      <c r="C160" s="77">
        <v>0</v>
      </c>
      <c r="D160" s="78"/>
      <c r="E160" s="78"/>
      <c r="F160" s="79"/>
      <c r="G160" s="79"/>
      <c r="H160" s="79"/>
      <c r="I160" s="212"/>
      <c r="J160" s="77"/>
      <c r="K160" s="74"/>
      <c r="L160" s="77"/>
      <c r="M160" s="212"/>
      <c r="N160" s="79"/>
      <c r="O160" s="212"/>
      <c r="P160" s="74">
        <f t="shared" si="37"/>
        <v>0</v>
      </c>
    </row>
    <row r="161" spans="1:16" s="213" customFormat="1" ht="12.75">
      <c r="A161" s="174"/>
      <c r="B161" s="176" t="s">
        <v>143</v>
      </c>
      <c r="C161" s="285">
        <v>0</v>
      </c>
      <c r="D161" s="187"/>
      <c r="E161" s="187"/>
      <c r="F161" s="396">
        <v>2303.09</v>
      </c>
      <c r="G161" s="396">
        <f>F161</f>
        <v>2303.09</v>
      </c>
      <c r="H161" s="396">
        <f>G161</f>
        <v>2303.09</v>
      </c>
      <c r="I161" s="396">
        <f>H161</f>
        <v>2303.09</v>
      </c>
      <c r="J161" s="569">
        <f>I161</f>
        <v>2303.09</v>
      </c>
      <c r="K161" s="554">
        <f>J161</f>
        <v>2303.09</v>
      </c>
      <c r="L161" s="569">
        <f>K161+2920.6</f>
        <v>5223.6900000000005</v>
      </c>
      <c r="M161" s="569">
        <f>K161</f>
        <v>2303.09</v>
      </c>
      <c r="N161" s="396">
        <f>M161</f>
        <v>2303.09</v>
      </c>
      <c r="O161" s="396">
        <f>N161</f>
        <v>2303.09</v>
      </c>
      <c r="P161" s="74">
        <f t="shared" si="37"/>
        <v>25951.500000000004</v>
      </c>
    </row>
    <row r="162" spans="1:16" s="213" customFormat="1" ht="12.75">
      <c r="A162" s="174"/>
      <c r="B162" s="176" t="s">
        <v>144</v>
      </c>
      <c r="C162" s="285"/>
      <c r="D162" s="187"/>
      <c r="E162" s="187"/>
      <c r="F162" s="396">
        <v>2303.09</v>
      </c>
      <c r="G162" s="396">
        <f>F162</f>
        <v>2303.09</v>
      </c>
      <c r="H162" s="396">
        <f>G162</f>
        <v>2303.09</v>
      </c>
      <c r="I162" s="396">
        <f>H162</f>
        <v>2303.09</v>
      </c>
      <c r="J162" s="569">
        <f>I162</f>
        <v>2303.09</v>
      </c>
      <c r="K162" s="554">
        <f>J162</f>
        <v>2303.09</v>
      </c>
      <c r="L162" s="569">
        <f>K162+2920.6</f>
        <v>5223.6900000000005</v>
      </c>
      <c r="M162" s="569">
        <f>K162</f>
        <v>2303.09</v>
      </c>
      <c r="N162" s="396">
        <f>M162</f>
        <v>2303.09</v>
      </c>
      <c r="O162" s="396">
        <f>N162</f>
        <v>2303.09</v>
      </c>
      <c r="P162" s="74">
        <f t="shared" si="37"/>
        <v>25951.500000000004</v>
      </c>
    </row>
    <row r="163" spans="1:16" s="213" customFormat="1" ht="12.75">
      <c r="A163" s="174" t="s">
        <v>122</v>
      </c>
      <c r="B163" s="176" t="s">
        <v>145</v>
      </c>
      <c r="C163" s="285"/>
      <c r="D163" s="187"/>
      <c r="E163" s="275"/>
      <c r="F163" s="397"/>
      <c r="G163" s="399"/>
      <c r="H163" s="286"/>
      <c r="I163" s="286"/>
      <c r="J163" s="285"/>
      <c r="K163" s="175"/>
      <c r="L163" s="285"/>
      <c r="M163" s="286"/>
      <c r="N163" s="286"/>
      <c r="O163" s="286"/>
      <c r="P163" s="74">
        <f t="shared" si="37"/>
        <v>0</v>
      </c>
    </row>
    <row r="164" spans="1:16" s="213" customFormat="1" ht="12.75">
      <c r="A164" s="174" t="s">
        <v>122</v>
      </c>
      <c r="B164" s="176" t="s">
        <v>123</v>
      </c>
      <c r="C164" s="285"/>
      <c r="D164" s="187"/>
      <c r="E164" s="275"/>
      <c r="F164" s="398"/>
      <c r="G164" s="400">
        <v>17188.349999999999</v>
      </c>
      <c r="H164" s="275"/>
      <c r="I164" s="228">
        <v>34868.82</v>
      </c>
      <c r="J164" s="400">
        <v>16978.48</v>
      </c>
      <c r="K164" s="209">
        <v>20000</v>
      </c>
      <c r="L164" s="209">
        <v>20000</v>
      </c>
      <c r="M164" s="209">
        <v>20000</v>
      </c>
      <c r="N164" s="209">
        <v>20000</v>
      </c>
      <c r="O164" s="187"/>
      <c r="P164" s="74">
        <f t="shared" si="37"/>
        <v>149035.65</v>
      </c>
    </row>
    <row r="165" spans="1:16" s="213" customFormat="1" ht="12.75">
      <c r="A165" s="218" t="s">
        <v>122</v>
      </c>
      <c r="B165" s="219" t="s">
        <v>169</v>
      </c>
      <c r="C165" s="266"/>
      <c r="D165" s="221"/>
      <c r="E165" s="221"/>
      <c r="F165" s="401"/>
      <c r="G165" s="221"/>
      <c r="H165" s="221"/>
      <c r="I165" s="401"/>
      <c r="J165" s="221"/>
      <c r="K165" s="221"/>
      <c r="L165" s="221"/>
      <c r="M165" s="221"/>
      <c r="N165" s="221"/>
      <c r="O165" s="221"/>
      <c r="P165" s="74">
        <f t="shared" si="37"/>
        <v>0</v>
      </c>
    </row>
    <row r="166" spans="1:16" s="213" customFormat="1" ht="12.75">
      <c r="A166" s="218" t="s">
        <v>122</v>
      </c>
      <c r="B166" s="219" t="s">
        <v>146</v>
      </c>
      <c r="C166" s="266"/>
      <c r="D166" s="221"/>
      <c r="E166" s="221"/>
      <c r="F166" s="221"/>
      <c r="G166" s="221"/>
      <c r="H166" s="221"/>
      <c r="I166" s="222">
        <v>78454.240000000005</v>
      </c>
      <c r="J166" s="222">
        <v>100554.94</v>
      </c>
      <c r="K166" s="221"/>
      <c r="L166" s="221"/>
      <c r="M166" s="221"/>
      <c r="N166" s="221"/>
      <c r="O166" s="221"/>
      <c r="P166" s="74">
        <f t="shared" si="37"/>
        <v>179009.18</v>
      </c>
    </row>
    <row r="167" spans="1:16" s="213" customFormat="1" ht="12.75">
      <c r="A167" s="836"/>
      <c r="B167"/>
      <c r="C167" s="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1"/>
    </row>
    <row r="168" spans="1:16" s="213" customFormat="1" ht="12.75">
      <c r="A168" s="836" t="s">
        <v>122</v>
      </c>
      <c r="B168" s="835" t="s">
        <v>177</v>
      </c>
      <c r="C168" s="2">
        <f>SUM(C154:C166)</f>
        <v>0</v>
      </c>
      <c r="D168" s="2">
        <f>SUM(D154:D166)</f>
        <v>7000</v>
      </c>
      <c r="E168" s="2">
        <f>SUM(E154:E166)</f>
        <v>7000</v>
      </c>
      <c r="F168" s="2">
        <f>SUM(F154:F166)</f>
        <v>11606.18</v>
      </c>
      <c r="G168" s="2">
        <f>SUM(G154:G166)</f>
        <v>28794.53</v>
      </c>
      <c r="H168" s="2">
        <f>SUM(H154:H166)</f>
        <v>11606.18</v>
      </c>
      <c r="I168" s="2">
        <f>SUM(I154:I166)</f>
        <v>124929.24</v>
      </c>
      <c r="J168" s="2">
        <f>SUM(J154:J166)</f>
        <v>129139.6</v>
      </c>
      <c r="K168" s="2">
        <f>SUM(K154:K166)</f>
        <v>31606.18</v>
      </c>
      <c r="L168" s="2">
        <f>SUM(L154:L166)</f>
        <v>37447.380000000005</v>
      </c>
      <c r="M168" s="2">
        <f>SUM(M154:M166)</f>
        <v>31606.18</v>
      </c>
      <c r="N168" s="2">
        <f>SUM(N154:N166)</f>
        <v>31606.18</v>
      </c>
      <c r="O168" s="2">
        <f>SUM(O154:O166)</f>
        <v>11606.18</v>
      </c>
      <c r="P168" s="2">
        <f>SUM(P154:P166)</f>
        <v>463947.83</v>
      </c>
    </row>
    <row r="169" spans="1:16" s="213" customFormat="1" ht="12.75">
      <c r="A169" s="895"/>
      <c r="B169" s="895"/>
      <c r="C169" s="895"/>
      <c r="D169" s="895"/>
      <c r="E169" s="895"/>
      <c r="F169" s="895"/>
      <c r="G169" s="895"/>
      <c r="H169" s="895"/>
      <c r="I169" s="895"/>
      <c r="J169" s="895"/>
      <c r="K169" s="895"/>
      <c r="L169" s="895"/>
      <c r="M169" s="895"/>
      <c r="N169" s="895"/>
      <c r="O169" s="895"/>
      <c r="P169" s="895"/>
    </row>
    <row r="170" spans="1:16" s="213" customFormat="1" ht="12.75">
      <c r="A170" s="75" t="s">
        <v>122</v>
      </c>
      <c r="B170" s="76" t="s">
        <v>150</v>
      </c>
      <c r="C170" s="77"/>
      <c r="D170" s="210">
        <f>1640.3+1754.18</f>
        <v>3394.48</v>
      </c>
      <c r="E170" s="210">
        <v>317.67</v>
      </c>
      <c r="F170" s="210"/>
      <c r="G170" s="210">
        <v>-0.12</v>
      </c>
      <c r="H170" s="78"/>
      <c r="I170" s="210">
        <f>6030.68+72.37</f>
        <v>6103.05</v>
      </c>
      <c r="J170" s="287"/>
      <c r="K170" s="284"/>
      <c r="L170" s="287"/>
      <c r="M170" s="79"/>
      <c r="N170" s="284"/>
      <c r="O170" s="654">
        <f>1826.44+410.07</f>
        <v>2236.5100000000002</v>
      </c>
      <c r="P170" s="455">
        <f>SUM(D170:O170)</f>
        <v>12051.59</v>
      </c>
    </row>
    <row r="171" spans="1:16" s="213" customFormat="1" ht="12.75">
      <c r="A171" s="75" t="s">
        <v>122</v>
      </c>
      <c r="B171" s="91" t="s">
        <v>151</v>
      </c>
      <c r="C171" s="77"/>
      <c r="D171" s="210">
        <v>17879.3</v>
      </c>
      <c r="E171" s="210">
        <v>14587.81</v>
      </c>
      <c r="F171" s="210">
        <f>6930.21</f>
        <v>6930.21</v>
      </c>
      <c r="G171" s="210">
        <v>15000</v>
      </c>
      <c r="H171" s="210"/>
      <c r="I171" s="210">
        <v>6000</v>
      </c>
      <c r="J171" s="288">
        <v>14000</v>
      </c>
      <c r="K171" s="211">
        <v>10000</v>
      </c>
      <c r="L171" s="288">
        <v>8000</v>
      </c>
      <c r="M171" s="212">
        <v>35000</v>
      </c>
      <c r="N171" s="212">
        <v>15000</v>
      </c>
      <c r="O171" s="212">
        <v>35000</v>
      </c>
      <c r="P171" s="221">
        <f>SUM(D171:O171)</f>
        <v>177397.32</v>
      </c>
    </row>
    <row r="172" spans="1:16" s="213" customFormat="1" ht="12.75">
      <c r="A172" s="835"/>
      <c r="B172"/>
      <c r="C172" s="2"/>
      <c r="D172" s="289"/>
      <c r="E172" s="82"/>
      <c r="F172" s="81"/>
      <c r="G172" s="81"/>
      <c r="H172" s="81"/>
      <c r="I172" s="290"/>
      <c r="J172" s="291"/>
      <c r="K172" s="292"/>
      <c r="L172" s="291"/>
      <c r="M172" s="290"/>
      <c r="N172" s="290"/>
      <c r="O172" s="81"/>
      <c r="P172" s="81"/>
    </row>
    <row r="173" spans="1:16" s="213" customFormat="1" ht="12.75">
      <c r="A173" s="835"/>
      <c r="B173" s="835" t="s">
        <v>152</v>
      </c>
      <c r="C173" s="2"/>
      <c r="D173" s="82">
        <f t="shared" ref="D173:P173" si="38">SUM(D170:D172)</f>
        <v>21273.78</v>
      </c>
      <c r="E173" s="82">
        <f t="shared" si="38"/>
        <v>14905.48</v>
      </c>
      <c r="F173" s="82">
        <f t="shared" si="38"/>
        <v>6930.21</v>
      </c>
      <c r="G173" s="82">
        <f t="shared" si="38"/>
        <v>14999.88</v>
      </c>
      <c r="H173" s="82">
        <f t="shared" si="38"/>
        <v>0</v>
      </c>
      <c r="I173" s="82">
        <f t="shared" si="38"/>
        <v>12103.05</v>
      </c>
      <c r="J173" s="82">
        <f t="shared" si="38"/>
        <v>14000</v>
      </c>
      <c r="K173" s="82">
        <f t="shared" si="38"/>
        <v>10000</v>
      </c>
      <c r="L173" s="82">
        <f t="shared" si="38"/>
        <v>8000</v>
      </c>
      <c r="M173" s="82">
        <f t="shared" si="38"/>
        <v>35000</v>
      </c>
      <c r="N173" s="82">
        <f t="shared" si="38"/>
        <v>15000</v>
      </c>
      <c r="O173" s="82">
        <f t="shared" si="38"/>
        <v>37236.51</v>
      </c>
      <c r="P173" s="82">
        <f t="shared" si="38"/>
        <v>189448.91</v>
      </c>
    </row>
    <row r="174" spans="1:16" s="213" customFormat="1" ht="12.75">
      <c r="A174" s="896"/>
      <c r="B174" s="896"/>
      <c r="C174" s="896"/>
      <c r="D174" s="896"/>
      <c r="E174" s="896"/>
      <c r="F174" s="896"/>
      <c r="G174" s="896"/>
      <c r="H174" s="896"/>
      <c r="I174" s="896"/>
      <c r="J174" s="896"/>
      <c r="K174" s="896"/>
      <c r="L174" s="896"/>
      <c r="M174" s="896"/>
      <c r="N174" s="896"/>
      <c r="O174" s="896"/>
      <c r="P174" s="896"/>
    </row>
    <row r="175" spans="1:16" s="213" customFormat="1" ht="12.75">
      <c r="A175" s="75" t="s">
        <v>122</v>
      </c>
      <c r="B175" s="76" t="s">
        <v>50</v>
      </c>
      <c r="C175" s="77"/>
      <c r="D175" s="210">
        <v>461.4</v>
      </c>
      <c r="E175" s="293">
        <v>461.4</v>
      </c>
      <c r="F175" s="239">
        <v>461.4</v>
      </c>
      <c r="G175" s="394">
        <v>461.4</v>
      </c>
      <c r="H175" s="210">
        <v>461.4</v>
      </c>
      <c r="I175" s="210">
        <v>461.4</v>
      </c>
      <c r="J175" s="210">
        <v>461.4</v>
      </c>
      <c r="K175" s="212">
        <v>461.4</v>
      </c>
      <c r="L175" s="212">
        <v>461.4</v>
      </c>
      <c r="M175" s="212">
        <v>461.4</v>
      </c>
      <c r="N175" s="212">
        <v>469.4</v>
      </c>
      <c r="O175" s="654">
        <v>461.4</v>
      </c>
      <c r="P175" s="817">
        <f>SUM(C175:O175)</f>
        <v>5544.7999999999993</v>
      </c>
    </row>
    <row r="176" spans="1:16" s="213" customFormat="1" ht="12.75">
      <c r="A176" s="75" t="s">
        <v>122</v>
      </c>
      <c r="B176" s="177" t="s">
        <v>178</v>
      </c>
      <c r="C176" s="77"/>
      <c r="D176" s="210"/>
      <c r="E176" s="282"/>
      <c r="F176" s="294"/>
      <c r="G176" s="282"/>
      <c r="H176" s="210"/>
      <c r="I176" s="210"/>
      <c r="J176" s="210"/>
      <c r="K176" s="79"/>
      <c r="L176" s="79"/>
      <c r="M176" s="79"/>
      <c r="N176" s="79"/>
      <c r="O176" s="454"/>
      <c r="P176" s="221">
        <f>SUM(D176:O176)</f>
        <v>0</v>
      </c>
    </row>
    <row r="177" spans="1:256" s="213" customFormat="1" ht="12.75">
      <c r="A177" s="75" t="s">
        <v>122</v>
      </c>
      <c r="B177" s="91" t="s">
        <v>53</v>
      </c>
      <c r="C177" s="77"/>
      <c r="D177" s="295">
        <v>534.9</v>
      </c>
      <c r="E177" s="210">
        <v>538.53</v>
      </c>
      <c r="F177" s="210">
        <v>820.95</v>
      </c>
      <c r="G177" s="210">
        <v>845.29</v>
      </c>
      <c r="H177" s="210">
        <v>559.04</v>
      </c>
      <c r="I177" s="210">
        <v>579.04</v>
      </c>
      <c r="J177" s="712">
        <v>233.83</v>
      </c>
      <c r="K177" s="396">
        <v>281.76</v>
      </c>
      <c r="L177" s="569">
        <v>410.67</v>
      </c>
      <c r="M177" s="396">
        <v>447.26</v>
      </c>
      <c r="N177" s="396">
        <v>465.81</v>
      </c>
      <c r="O177" s="654">
        <v>469.44</v>
      </c>
      <c r="P177" s="221">
        <f>SUM(D177:O177)</f>
        <v>6186.52</v>
      </c>
    </row>
    <row r="178" spans="1:256" s="213" customFormat="1" ht="12.75">
      <c r="A178" s="75" t="s">
        <v>122</v>
      </c>
      <c r="B178" s="76" t="s">
        <v>179</v>
      </c>
      <c r="C178" s="77"/>
      <c r="D178" s="210"/>
      <c r="E178" s="210"/>
      <c r="F178" s="210">
        <f>10187</f>
        <v>10187</v>
      </c>
      <c r="G178" s="210">
        <f>3342.65*2</f>
        <v>6685.3</v>
      </c>
      <c r="H178" s="210">
        <v>3343</v>
      </c>
      <c r="I178" s="293">
        <v>3343</v>
      </c>
      <c r="J178" s="710"/>
      <c r="K178" s="710"/>
      <c r="L178" s="710"/>
      <c r="M178" s="710"/>
      <c r="N178" s="710"/>
      <c r="O178" s="711">
        <v>2762.91</v>
      </c>
      <c r="P178" s="221">
        <f>SUM(D178:O178)</f>
        <v>26321.21</v>
      </c>
    </row>
    <row r="179" spans="1:256" ht="12.75">
      <c r="A179" s="94" t="s">
        <v>122</v>
      </c>
      <c r="B179" s="95" t="s">
        <v>180</v>
      </c>
      <c r="C179" s="54"/>
      <c r="D179" s="52"/>
      <c r="E179" s="52"/>
      <c r="F179" s="98">
        <v>10187</v>
      </c>
      <c r="G179" s="98"/>
      <c r="H179" s="98"/>
      <c r="I179" s="98"/>
      <c r="J179" s="98"/>
      <c r="K179" s="98"/>
      <c r="L179" s="98"/>
      <c r="M179" s="98"/>
      <c r="N179" s="98"/>
      <c r="O179" s="98"/>
      <c r="P179" s="98">
        <f>SUM(D179:O179)</f>
        <v>10187</v>
      </c>
    </row>
    <row r="180" spans="1:256" s="213" customFormat="1" ht="12.75">
      <c r="A180" s="75" t="s">
        <v>122</v>
      </c>
      <c r="B180" s="91" t="s">
        <v>181</v>
      </c>
      <c r="C180" s="77"/>
      <c r="D180" s="192"/>
      <c r="E180" s="295"/>
      <c r="F180" s="296">
        <v>1576.8</v>
      </c>
      <c r="G180" s="192"/>
      <c r="H180" s="192"/>
      <c r="I180" s="192"/>
      <c r="J180" s="713"/>
      <c r="K180" s="713"/>
      <c r="L180" s="713"/>
      <c r="M180" s="713"/>
      <c r="N180" s="713"/>
      <c r="O180" s="456"/>
      <c r="P180" s="221">
        <f>SUM(E180:O180)</f>
        <v>1576.8</v>
      </c>
    </row>
    <row r="181" spans="1:256" s="213" customFormat="1" ht="12.75">
      <c r="A181" s="75" t="s">
        <v>122</v>
      </c>
      <c r="B181" s="91" t="s">
        <v>182</v>
      </c>
      <c r="C181" s="77"/>
      <c r="D181" s="297"/>
      <c r="E181" s="210">
        <v>7779.6</v>
      </c>
      <c r="F181" s="78"/>
      <c r="G181" s="78"/>
      <c r="H181" s="78"/>
      <c r="I181" s="78"/>
      <c r="J181" s="184"/>
      <c r="K181" s="192"/>
      <c r="L181" s="192"/>
      <c r="M181" s="192"/>
      <c r="N181" s="192"/>
      <c r="O181" s="456"/>
      <c r="P181" s="221">
        <f>SUM(D181:O181)</f>
        <v>7779.6</v>
      </c>
    </row>
    <row r="182" spans="1:256" s="213" customFormat="1" ht="12.75">
      <c r="A182" s="75" t="s">
        <v>122</v>
      </c>
      <c r="B182" s="76" t="s">
        <v>160</v>
      </c>
      <c r="C182" s="298"/>
      <c r="D182" s="228">
        <v>501.06</v>
      </c>
      <c r="E182" s="299">
        <v>499</v>
      </c>
      <c r="F182" s="296">
        <v>509</v>
      </c>
      <c r="G182" s="296">
        <v>501.06</v>
      </c>
      <c r="H182" s="296">
        <v>500.03</v>
      </c>
      <c r="I182" s="296">
        <v>499</v>
      </c>
      <c r="J182" s="296">
        <v>499</v>
      </c>
      <c r="K182" s="296">
        <v>499</v>
      </c>
      <c r="L182" s="296">
        <v>499</v>
      </c>
      <c r="M182" s="212">
        <v>499</v>
      </c>
      <c r="N182" s="212">
        <v>499</v>
      </c>
      <c r="O182" s="212">
        <v>499</v>
      </c>
      <c r="P182" s="221">
        <f>SUM(D182:O182)</f>
        <v>6003.15</v>
      </c>
    </row>
    <row r="183" spans="1:256" s="213" customFormat="1" ht="12.75">
      <c r="A183" s="835"/>
      <c r="B183"/>
      <c r="C183" s="2"/>
      <c r="D183" s="300"/>
      <c r="E183" s="82"/>
      <c r="F183" s="82"/>
      <c r="G183" s="82"/>
      <c r="H183" s="82"/>
      <c r="I183" s="82"/>
      <c r="J183" s="6"/>
      <c r="K183" s="81"/>
      <c r="L183" s="2"/>
      <c r="M183" s="81"/>
      <c r="N183" s="81"/>
      <c r="O183" s="81"/>
      <c r="P183" s="81"/>
    </row>
    <row r="184" spans="1:256" s="213" customFormat="1" ht="12.75">
      <c r="A184" s="835"/>
      <c r="B184" s="835" t="s">
        <v>183</v>
      </c>
      <c r="C184" s="180">
        <f>SUM(C175:C182)</f>
        <v>0</v>
      </c>
      <c r="D184" s="180">
        <f t="shared" ref="D184:P184" si="39">SUM(D175:D182)</f>
        <v>1497.36</v>
      </c>
      <c r="E184" s="180">
        <f t="shared" si="39"/>
        <v>9278.5300000000007</v>
      </c>
      <c r="F184" s="180">
        <f t="shared" si="39"/>
        <v>23742.149999999998</v>
      </c>
      <c r="G184" s="180">
        <f t="shared" si="39"/>
        <v>8493.0499999999993</v>
      </c>
      <c r="H184" s="180">
        <f t="shared" si="39"/>
        <v>4863.4699999999993</v>
      </c>
      <c r="I184" s="180">
        <f t="shared" si="39"/>
        <v>4882.4400000000005</v>
      </c>
      <c r="J184" s="180">
        <f t="shared" si="39"/>
        <v>1194.23</v>
      </c>
      <c r="K184" s="180">
        <f t="shared" si="39"/>
        <v>1242.1599999999999</v>
      </c>
      <c r="L184" s="180">
        <f t="shared" si="39"/>
        <v>1371.07</v>
      </c>
      <c r="M184" s="180">
        <f t="shared" si="39"/>
        <v>1407.6599999999999</v>
      </c>
      <c r="N184" s="180">
        <f t="shared" si="39"/>
        <v>1434.21</v>
      </c>
      <c r="O184" s="180">
        <f t="shared" si="39"/>
        <v>4192.75</v>
      </c>
      <c r="P184" s="180">
        <f t="shared" si="39"/>
        <v>63599.08</v>
      </c>
    </row>
    <row r="185" spans="1:256" s="213" customFormat="1" ht="12.75">
      <c r="A185" s="896"/>
      <c r="B185" s="896"/>
      <c r="C185" s="896"/>
      <c r="D185" s="896"/>
      <c r="E185" s="896"/>
      <c r="F185" s="896"/>
      <c r="G185" s="896"/>
      <c r="H185" s="896"/>
      <c r="I185" s="896"/>
      <c r="J185" s="896"/>
      <c r="K185" s="896"/>
      <c r="L185" s="896"/>
      <c r="M185" s="896"/>
      <c r="N185" s="896"/>
      <c r="O185" s="896"/>
      <c r="P185" s="896"/>
    </row>
    <row r="186" spans="1:256" s="213" customFormat="1" ht="12.75">
      <c r="A186" s="302" t="s">
        <v>105</v>
      </c>
      <c r="B186" s="657" t="s">
        <v>184</v>
      </c>
      <c r="C186" s="266"/>
      <c r="D186" s="266">
        <f t="shared" ref="D186:P186" si="40">D116+D152+D123</f>
        <v>185252.24</v>
      </c>
      <c r="E186" s="266">
        <f t="shared" si="40"/>
        <v>128971.5</v>
      </c>
      <c r="F186" s="266">
        <f t="shared" si="40"/>
        <v>98249.13</v>
      </c>
      <c r="G186" s="266">
        <f>G116+G152+G123</f>
        <v>119801.83</v>
      </c>
      <c r="H186" s="266">
        <f t="shared" si="40"/>
        <v>123080.72</v>
      </c>
      <c r="I186" s="266">
        <f t="shared" si="40"/>
        <v>202995.8</v>
      </c>
      <c r="J186" s="266">
        <f t="shared" si="40"/>
        <v>150718.57</v>
      </c>
      <c r="K186" s="266">
        <f t="shared" si="40"/>
        <v>119042.12999999999</v>
      </c>
      <c r="L186" s="266">
        <f t="shared" si="40"/>
        <v>121947.32999999999</v>
      </c>
      <c r="M186" s="266">
        <f t="shared" si="40"/>
        <v>119171.98999999999</v>
      </c>
      <c r="N186" s="266">
        <f t="shared" si="40"/>
        <v>181307.7</v>
      </c>
      <c r="O186" s="266">
        <f t="shared" si="40"/>
        <v>207809.19999999998</v>
      </c>
      <c r="P186" s="266">
        <f t="shared" si="40"/>
        <v>1753313.1400000004</v>
      </c>
    </row>
    <row r="187" spans="1:256" s="213" customFormat="1" ht="12.75" customHeight="1">
      <c r="A187" s="302" t="s">
        <v>122</v>
      </c>
      <c r="B187" s="657" t="s">
        <v>185</v>
      </c>
      <c r="C187" s="266"/>
      <c r="D187" s="266">
        <f>D168+D113</f>
        <v>120035.6</v>
      </c>
      <c r="E187" s="266">
        <f t="shared" ref="E187:P187" si="41">E168+E113</f>
        <v>47000</v>
      </c>
      <c r="F187" s="266">
        <f t="shared" si="41"/>
        <v>33606.18</v>
      </c>
      <c r="G187" s="266">
        <f t="shared" si="41"/>
        <v>68794.53</v>
      </c>
      <c r="H187" s="266">
        <f t="shared" si="41"/>
        <v>51606.18</v>
      </c>
      <c r="I187" s="266">
        <f t="shared" si="41"/>
        <v>204929.24</v>
      </c>
      <c r="J187" s="266">
        <f t="shared" si="41"/>
        <v>189139.6</v>
      </c>
      <c r="K187" s="266">
        <f t="shared" si="41"/>
        <v>71606.179999999993</v>
      </c>
      <c r="L187" s="266">
        <f t="shared" si="41"/>
        <v>77447.38</v>
      </c>
      <c r="M187" s="266">
        <f t="shared" si="41"/>
        <v>71606.179999999993</v>
      </c>
      <c r="N187" s="266">
        <f t="shared" si="41"/>
        <v>111606.18</v>
      </c>
      <c r="O187" s="266">
        <f t="shared" si="41"/>
        <v>91606.18</v>
      </c>
      <c r="P187" s="266">
        <f>P168+P113</f>
        <v>1138983.43</v>
      </c>
    </row>
    <row r="188" spans="1:256" s="213" customFormat="1" ht="12.75" customHeight="1">
      <c r="A188" s="302" t="s">
        <v>78</v>
      </c>
      <c r="B188" s="657" t="s">
        <v>89</v>
      </c>
      <c r="C188" s="266"/>
      <c r="D188" s="266">
        <f>D186-D187</f>
        <v>65216.639999999985</v>
      </c>
      <c r="E188" s="266">
        <f t="shared" ref="E188:P188" si="42">E186-E187</f>
        <v>81971.5</v>
      </c>
      <c r="F188" s="266">
        <f t="shared" si="42"/>
        <v>64642.950000000004</v>
      </c>
      <c r="G188" s="266">
        <f t="shared" si="42"/>
        <v>51007.3</v>
      </c>
      <c r="H188" s="266">
        <f t="shared" si="42"/>
        <v>71474.540000000008</v>
      </c>
      <c r="I188" s="266">
        <f t="shared" si="42"/>
        <v>-1933.4400000000023</v>
      </c>
      <c r="J188" s="266">
        <f t="shared" si="42"/>
        <v>-38421.03</v>
      </c>
      <c r="K188" s="266">
        <f t="shared" si="42"/>
        <v>47435.95</v>
      </c>
      <c r="L188" s="266">
        <f t="shared" si="42"/>
        <v>44499.949999999983</v>
      </c>
      <c r="M188" s="266">
        <f t="shared" si="42"/>
        <v>47565.81</v>
      </c>
      <c r="N188" s="266">
        <f t="shared" si="42"/>
        <v>69701.520000000019</v>
      </c>
      <c r="O188" s="266">
        <f t="shared" si="42"/>
        <v>116203.01999999999</v>
      </c>
      <c r="P188" s="266">
        <f>P186-P187</f>
        <v>614329.71000000043</v>
      </c>
    </row>
    <row r="189" spans="1:256" s="64" customFormat="1" ht="25.5">
      <c r="A189" s="889" t="s">
        <v>186</v>
      </c>
      <c r="B189" s="890"/>
      <c r="C189" s="890"/>
      <c r="D189" s="890"/>
      <c r="E189" s="890"/>
      <c r="F189" s="890"/>
      <c r="G189" s="890"/>
      <c r="H189" s="890"/>
      <c r="I189" s="890"/>
      <c r="J189" s="890"/>
      <c r="K189" s="890"/>
      <c r="L189" s="890"/>
      <c r="M189" s="890"/>
      <c r="N189" s="890"/>
      <c r="O189" s="890"/>
      <c r="P189" s="891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/>
      <c r="FD189" s="18"/>
      <c r="FE189" s="18"/>
      <c r="FF189" s="18"/>
      <c r="FG189" s="18"/>
      <c r="FH189" s="18"/>
      <c r="FI189" s="18"/>
      <c r="FJ189" s="18"/>
      <c r="FK189" s="18"/>
      <c r="FL189" s="18"/>
      <c r="FM189" s="18"/>
      <c r="FN189" s="18"/>
      <c r="FO189" s="18"/>
      <c r="FP189" s="18"/>
      <c r="FQ189" s="18"/>
      <c r="FR189" s="18"/>
      <c r="FS189" s="18"/>
      <c r="FT189" s="18"/>
      <c r="FU189" s="18"/>
      <c r="FV189" s="18"/>
      <c r="FW189" s="18"/>
      <c r="FX189" s="18"/>
      <c r="FY189" s="18"/>
      <c r="FZ189" s="18"/>
      <c r="GA189" s="18"/>
      <c r="GB189" s="18"/>
      <c r="GC189" s="18"/>
      <c r="GD189" s="18"/>
      <c r="GE189" s="18"/>
      <c r="GF189" s="18"/>
      <c r="GG189" s="18"/>
      <c r="GH189" s="18"/>
      <c r="GI189" s="18"/>
      <c r="GJ189" s="18"/>
      <c r="GK189" s="18"/>
      <c r="GL189" s="18"/>
      <c r="GM189" s="18"/>
      <c r="GN189" s="18"/>
      <c r="GO189" s="18"/>
      <c r="GP189" s="18"/>
      <c r="GQ189" s="18"/>
      <c r="GR189" s="18"/>
      <c r="GS189" s="18"/>
      <c r="GT189" s="18"/>
      <c r="GU189" s="18"/>
      <c r="GV189" s="18"/>
      <c r="GW189" s="18"/>
      <c r="GX189" s="18"/>
      <c r="GY189" s="18"/>
      <c r="GZ189" s="18"/>
      <c r="HA189" s="18"/>
      <c r="HB189" s="18"/>
      <c r="HC189" s="18"/>
      <c r="HD189" s="18"/>
      <c r="HE189" s="18"/>
      <c r="HF189" s="18"/>
      <c r="HG189" s="18"/>
      <c r="HH189" s="18"/>
      <c r="HI189" s="18"/>
      <c r="HJ189" s="18"/>
      <c r="HK189" s="18"/>
      <c r="HL189" s="18"/>
      <c r="HM189" s="18"/>
      <c r="HN189" s="18"/>
      <c r="HO189" s="18"/>
      <c r="HP189" s="18"/>
      <c r="HQ189" s="18"/>
      <c r="HR189" s="18"/>
      <c r="HS189" s="18"/>
      <c r="HT189" s="18"/>
      <c r="HU189" s="18"/>
      <c r="HV189" s="18"/>
      <c r="HW189" s="18"/>
      <c r="HX189" s="18"/>
      <c r="HY189" s="18"/>
      <c r="HZ189" s="18"/>
      <c r="IA189" s="18"/>
      <c r="IB189" s="18"/>
      <c r="IC189" s="18"/>
      <c r="ID189" s="18"/>
      <c r="IE189" s="18"/>
      <c r="IF189" s="18"/>
      <c r="IG189" s="18"/>
      <c r="IH189" s="18"/>
      <c r="II189" s="18"/>
      <c r="IJ189" s="18"/>
      <c r="IK189" s="18"/>
      <c r="IL189" s="18"/>
      <c r="IM189" s="18"/>
      <c r="IN189" s="18"/>
      <c r="IO189" s="18"/>
      <c r="IP189" s="18"/>
      <c r="IQ189" s="18"/>
      <c r="IR189" s="18"/>
      <c r="IS189" s="18"/>
      <c r="IT189" s="18"/>
      <c r="IU189" s="18"/>
      <c r="IV189" s="18"/>
    </row>
    <row r="190" spans="1:256" s="64" customFormat="1" ht="12.75" customHeight="1">
      <c r="A190" s="302" t="s">
        <v>78</v>
      </c>
      <c r="B190" s="302" t="s">
        <v>102</v>
      </c>
      <c r="C190" s="302" t="s">
        <v>103</v>
      </c>
      <c r="D190" s="656" t="s">
        <v>75</v>
      </c>
      <c r="E190" s="656" t="s">
        <v>76</v>
      </c>
      <c r="F190" s="302" t="s">
        <v>77</v>
      </c>
      <c r="G190" s="302" t="s">
        <v>81</v>
      </c>
      <c r="H190" s="302" t="s">
        <v>82</v>
      </c>
      <c r="I190" s="302" t="s">
        <v>83</v>
      </c>
      <c r="J190" s="302" t="s">
        <v>84</v>
      </c>
      <c r="K190" s="302" t="s">
        <v>85</v>
      </c>
      <c r="L190" s="302" t="s">
        <v>86</v>
      </c>
      <c r="M190" s="302" t="s">
        <v>87</v>
      </c>
      <c r="N190" s="302" t="s">
        <v>88</v>
      </c>
      <c r="O190" s="302" t="s">
        <v>74</v>
      </c>
      <c r="P190" s="302" t="s">
        <v>104</v>
      </c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  <c r="EW190" s="18"/>
      <c r="EX190" s="18"/>
      <c r="EY190" s="18"/>
      <c r="EZ190" s="18"/>
      <c r="FA190" s="18"/>
      <c r="FB190" s="18"/>
      <c r="FC190" s="18"/>
      <c r="FD190" s="18"/>
      <c r="FE190" s="18"/>
      <c r="FF190" s="18"/>
      <c r="FG190" s="18"/>
      <c r="FH190" s="18"/>
      <c r="FI190" s="18"/>
      <c r="FJ190" s="18"/>
      <c r="FK190" s="18"/>
      <c r="FL190" s="18"/>
      <c r="FM190" s="18"/>
      <c r="FN190" s="18"/>
      <c r="FO190" s="18"/>
      <c r="FP190" s="18"/>
      <c r="FQ190" s="18"/>
      <c r="FR190" s="18"/>
      <c r="FS190" s="18"/>
      <c r="FT190" s="18"/>
      <c r="FU190" s="18"/>
      <c r="FV190" s="18"/>
      <c r="FW190" s="18"/>
      <c r="FX190" s="18"/>
      <c r="FY190" s="18"/>
      <c r="FZ190" s="18"/>
      <c r="GA190" s="18"/>
      <c r="GB190" s="18"/>
      <c r="GC190" s="18"/>
      <c r="GD190" s="18"/>
      <c r="GE190" s="18"/>
      <c r="GF190" s="18"/>
      <c r="GG190" s="18"/>
      <c r="GH190" s="18"/>
      <c r="GI190" s="18"/>
      <c r="GJ190" s="18"/>
      <c r="GK190" s="18"/>
      <c r="GL190" s="18"/>
      <c r="GM190" s="18"/>
      <c r="GN190" s="18"/>
      <c r="GO190" s="18"/>
      <c r="GP190" s="18"/>
      <c r="GQ190" s="18"/>
      <c r="GR190" s="18"/>
      <c r="GS190" s="18"/>
      <c r="GT190" s="18"/>
      <c r="GU190" s="18"/>
      <c r="GV190" s="18"/>
      <c r="GW190" s="18"/>
      <c r="GX190" s="18"/>
      <c r="GY190" s="18"/>
      <c r="GZ190" s="18"/>
      <c r="HA190" s="18"/>
      <c r="HB190" s="18"/>
      <c r="HC190" s="18"/>
      <c r="HD190" s="18"/>
      <c r="HE190" s="18"/>
      <c r="HF190" s="18"/>
      <c r="HG190" s="18"/>
      <c r="HH190" s="18"/>
      <c r="HI190" s="18"/>
      <c r="HJ190" s="18"/>
      <c r="HK190" s="18"/>
      <c r="HL190" s="18"/>
      <c r="HM190" s="18"/>
      <c r="HN190" s="18"/>
      <c r="HO190" s="18"/>
      <c r="HP190" s="18"/>
      <c r="HQ190" s="18"/>
      <c r="HR190" s="18"/>
      <c r="HS190" s="18"/>
      <c r="HT190" s="18"/>
      <c r="HU190" s="18"/>
      <c r="HV190" s="18"/>
      <c r="HW190" s="18"/>
      <c r="HX190" s="18"/>
      <c r="HY190" s="18"/>
      <c r="HZ190" s="18"/>
      <c r="IA190" s="18"/>
      <c r="IB190" s="18"/>
      <c r="IC190" s="18"/>
      <c r="ID190" s="18"/>
      <c r="IE190" s="18"/>
      <c r="IF190" s="18"/>
      <c r="IG190" s="18"/>
      <c r="IH190" s="18"/>
      <c r="II190" s="18"/>
      <c r="IJ190" s="18"/>
      <c r="IK190" s="18"/>
      <c r="IL190" s="18"/>
      <c r="IM190" s="18"/>
      <c r="IN190" s="18"/>
      <c r="IO190" s="18"/>
      <c r="IP190" s="18"/>
      <c r="IQ190" s="18"/>
      <c r="IR190" s="18"/>
      <c r="IS190" s="18"/>
      <c r="IT190" s="18"/>
      <c r="IU190" s="18"/>
      <c r="IV190" s="18"/>
    </row>
    <row r="191" spans="1:256" s="64" customFormat="1" ht="12.75" hidden="1" customHeight="1">
      <c r="A191" s="837"/>
      <c r="B191" s="837"/>
      <c r="C191" s="837"/>
      <c r="D191" s="301"/>
      <c r="E191" s="301"/>
      <c r="F191" s="837"/>
      <c r="G191" s="837"/>
      <c r="H191" s="837"/>
      <c r="I191" s="837"/>
      <c r="J191" s="837"/>
      <c r="K191" s="837"/>
      <c r="L191" s="837"/>
      <c r="M191" s="837"/>
      <c r="N191" s="837"/>
      <c r="O191" s="837"/>
      <c r="P191" s="837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  <c r="FF191" s="18"/>
      <c r="FG191" s="18"/>
      <c r="FH191" s="18"/>
      <c r="FI191" s="18"/>
      <c r="FJ191" s="18"/>
      <c r="FK191" s="18"/>
      <c r="FL191" s="18"/>
      <c r="FM191" s="18"/>
      <c r="FN191" s="18"/>
      <c r="FO191" s="18"/>
      <c r="FP191" s="18"/>
      <c r="FQ191" s="18"/>
      <c r="FR191" s="18"/>
      <c r="FS191" s="18"/>
      <c r="FT191" s="18"/>
      <c r="FU191" s="18"/>
      <c r="FV191" s="18"/>
      <c r="FW191" s="18"/>
      <c r="FX191" s="18"/>
      <c r="FY191" s="18"/>
      <c r="FZ191" s="18"/>
      <c r="GA191" s="18"/>
      <c r="GB191" s="18"/>
      <c r="GC191" s="18"/>
      <c r="GD191" s="18"/>
      <c r="GE191" s="18"/>
      <c r="GF191" s="18"/>
      <c r="GG191" s="18"/>
      <c r="GH191" s="18"/>
      <c r="GI191" s="18"/>
      <c r="GJ191" s="18"/>
      <c r="GK191" s="18"/>
      <c r="GL191" s="18"/>
      <c r="GM191" s="18"/>
      <c r="GN191" s="18"/>
      <c r="GO191" s="18"/>
      <c r="GP191" s="18"/>
      <c r="GQ191" s="18"/>
      <c r="GR191" s="18"/>
      <c r="GS191" s="18"/>
      <c r="GT191" s="18"/>
      <c r="GU191" s="18"/>
      <c r="GV191" s="18"/>
      <c r="GW191" s="18"/>
      <c r="GX191" s="18"/>
      <c r="GY191" s="18"/>
      <c r="GZ191" s="18"/>
      <c r="HA191" s="18"/>
      <c r="HB191" s="18"/>
      <c r="HC191" s="18"/>
      <c r="HD191" s="18"/>
      <c r="HE191" s="18"/>
      <c r="HF191" s="18"/>
      <c r="HG191" s="18"/>
      <c r="HH191" s="18"/>
      <c r="HI191" s="18"/>
      <c r="HJ191" s="18"/>
      <c r="HK191" s="18"/>
      <c r="HL191" s="18"/>
      <c r="HM191" s="18"/>
      <c r="HN191" s="18"/>
      <c r="HO191" s="18"/>
      <c r="HP191" s="18"/>
      <c r="HQ191" s="18"/>
      <c r="HR191" s="18"/>
      <c r="HS191" s="18"/>
      <c r="HT191" s="18"/>
      <c r="HU191" s="18"/>
      <c r="HV191" s="18"/>
      <c r="HW191" s="18"/>
      <c r="HX191" s="18"/>
      <c r="HY191" s="18"/>
      <c r="HZ191" s="18"/>
      <c r="IA191" s="18"/>
      <c r="IB191" s="18"/>
      <c r="IC191" s="18"/>
      <c r="ID191" s="18"/>
      <c r="IE191" s="18"/>
      <c r="IF191" s="18"/>
      <c r="IG191" s="18"/>
      <c r="IH191" s="18"/>
      <c r="II191" s="18"/>
      <c r="IJ191" s="18"/>
      <c r="IK191" s="18"/>
      <c r="IL191" s="18"/>
      <c r="IM191" s="18"/>
      <c r="IN191" s="18"/>
      <c r="IO191" s="18"/>
      <c r="IP191" s="18"/>
      <c r="IQ191" s="18"/>
      <c r="IR191" s="18"/>
      <c r="IS191" s="18"/>
      <c r="IT191" s="18"/>
      <c r="IU191" s="18"/>
      <c r="IV191" s="18"/>
    </row>
    <row r="192" spans="1:256" s="186" customFormat="1" ht="12.75" hidden="1" customHeight="1">
      <c r="A192" s="302">
        <v>4522901</v>
      </c>
      <c r="B192" s="303" t="str">
        <f>LOOKUP(A192,RRHH!A2:A38,RRHH!B2:B38)</f>
        <v>CIFARELLI Ricardo Alberto</v>
      </c>
      <c r="C192" s="304"/>
      <c r="D192" s="305">
        <v>2400</v>
      </c>
      <c r="E192" s="305">
        <v>2400</v>
      </c>
      <c r="F192" s="305">
        <v>2400</v>
      </c>
      <c r="G192" s="305">
        <v>2400</v>
      </c>
      <c r="H192" s="305">
        <v>2400</v>
      </c>
      <c r="I192" s="306" t="s">
        <v>136</v>
      </c>
      <c r="J192" s="306" t="s">
        <v>136</v>
      </c>
      <c r="K192" s="306" t="s">
        <v>136</v>
      </c>
      <c r="L192" s="306" t="s">
        <v>136</v>
      </c>
      <c r="M192" s="306" t="s">
        <v>136</v>
      </c>
      <c r="N192" s="306" t="s">
        <v>136</v>
      </c>
      <c r="O192" s="306" t="s">
        <v>136</v>
      </c>
      <c r="P192" s="304">
        <f>SUM(C192:O192)</f>
        <v>12000</v>
      </c>
    </row>
    <row r="193" spans="1:256" s="41" customFormat="1" ht="12.75" hidden="1" customHeight="1">
      <c r="A193" s="307">
        <v>56</v>
      </c>
      <c r="B193" s="308" t="s">
        <v>169</v>
      </c>
      <c r="C193" s="309"/>
      <c r="D193" s="305">
        <v>250</v>
      </c>
      <c r="E193" s="305">
        <v>250</v>
      </c>
      <c r="F193" s="305">
        <v>250</v>
      </c>
      <c r="G193" s="305">
        <v>250</v>
      </c>
      <c r="H193" s="305">
        <v>250</v>
      </c>
      <c r="I193" s="306" t="s">
        <v>136</v>
      </c>
      <c r="J193" s="306" t="s">
        <v>136</v>
      </c>
      <c r="K193" s="306" t="s">
        <v>136</v>
      </c>
      <c r="L193" s="306" t="s">
        <v>136</v>
      </c>
      <c r="M193" s="306" t="s">
        <v>136</v>
      </c>
      <c r="N193" s="305"/>
      <c r="O193" s="306" t="s">
        <v>136</v>
      </c>
      <c r="P193" s="304">
        <f>SUM(E193:O193)</f>
        <v>1000</v>
      </c>
    </row>
    <row r="194" spans="1:256" ht="12.75" hidden="1" customHeight="1">
      <c r="A194" s="310">
        <v>57</v>
      </c>
      <c r="B194" s="311" t="s">
        <v>175</v>
      </c>
      <c r="C194" s="312"/>
      <c r="D194" s="313">
        <v>3600</v>
      </c>
      <c r="E194" s="313">
        <v>3600</v>
      </c>
      <c r="F194" s="313">
        <v>3600</v>
      </c>
      <c r="G194" s="313">
        <v>3600</v>
      </c>
      <c r="H194" s="313">
        <v>3600</v>
      </c>
      <c r="I194" s="313">
        <v>3600</v>
      </c>
      <c r="J194" s="313">
        <v>3600</v>
      </c>
      <c r="K194" s="306" t="s">
        <v>136</v>
      </c>
      <c r="L194" s="306" t="s">
        <v>136</v>
      </c>
      <c r="M194" s="306" t="s">
        <v>136</v>
      </c>
      <c r="N194" s="306" t="s">
        <v>136</v>
      </c>
      <c r="O194" s="306" t="s">
        <v>136</v>
      </c>
      <c r="P194" s="314">
        <f>SUM(E194:O194)</f>
        <v>21600</v>
      </c>
    </row>
    <row r="195" spans="1:256" s="186" customFormat="1" ht="12.75" hidden="1" customHeight="1">
      <c r="A195" s="315">
        <v>58</v>
      </c>
      <c r="B195" s="308" t="s">
        <v>40</v>
      </c>
      <c r="C195" s="316"/>
      <c r="D195" s="317">
        <v>2400</v>
      </c>
      <c r="E195" s="317">
        <v>2400</v>
      </c>
      <c r="F195" s="317">
        <v>2400</v>
      </c>
      <c r="G195" s="317">
        <v>2400</v>
      </c>
      <c r="H195" s="317">
        <v>2400</v>
      </c>
      <c r="I195" s="317">
        <v>2400</v>
      </c>
      <c r="J195" s="317">
        <v>2400</v>
      </c>
      <c r="K195" s="306" t="s">
        <v>136</v>
      </c>
      <c r="L195" s="306" t="s">
        <v>136</v>
      </c>
      <c r="M195" s="318"/>
      <c r="N195" s="306" t="s">
        <v>136</v>
      </c>
      <c r="O195" s="306" t="s">
        <v>136</v>
      </c>
      <c r="P195" s="318">
        <f t="shared" ref="P195:P204" si="43">SUM(D195:K195)</f>
        <v>16800</v>
      </c>
    </row>
    <row r="196" spans="1:256" s="185" customFormat="1" ht="12.75" hidden="1" customHeight="1">
      <c r="A196" s="319">
        <v>59</v>
      </c>
      <c r="B196" s="308" t="s">
        <v>173</v>
      </c>
      <c r="C196" s="316"/>
      <c r="D196" s="317">
        <v>1200</v>
      </c>
      <c r="E196" s="317">
        <v>1200</v>
      </c>
      <c r="F196" s="317">
        <v>1200</v>
      </c>
      <c r="G196" s="317">
        <v>1200</v>
      </c>
      <c r="H196" s="317">
        <v>1200</v>
      </c>
      <c r="I196" s="317">
        <v>1200</v>
      </c>
      <c r="J196" s="317">
        <v>1200</v>
      </c>
      <c r="K196" s="317">
        <v>1200</v>
      </c>
      <c r="L196" s="317">
        <v>1200</v>
      </c>
      <c r="M196" s="306" t="s">
        <v>136</v>
      </c>
      <c r="N196" s="306" t="s">
        <v>136</v>
      </c>
      <c r="O196" s="306" t="s">
        <v>136</v>
      </c>
      <c r="P196" s="318">
        <f t="shared" si="43"/>
        <v>9600</v>
      </c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  <c r="IV196" s="13"/>
    </row>
    <row r="197" spans="1:256" s="41" customFormat="1" ht="12.75" hidden="1" customHeight="1">
      <c r="A197" s="320">
        <v>60</v>
      </c>
      <c r="B197" s="321" t="s">
        <v>169</v>
      </c>
      <c r="C197" s="322"/>
      <c r="D197" s="306" t="s">
        <v>136</v>
      </c>
      <c r="E197" s="323">
        <v>480</v>
      </c>
      <c r="F197" s="323">
        <v>480</v>
      </c>
      <c r="G197" s="323">
        <v>480</v>
      </c>
      <c r="H197" s="323">
        <v>480</v>
      </c>
      <c r="I197" s="323">
        <v>480</v>
      </c>
      <c r="J197" s="323">
        <v>480</v>
      </c>
      <c r="K197" s="323">
        <v>480</v>
      </c>
      <c r="L197" s="323">
        <v>480</v>
      </c>
      <c r="M197" s="323">
        <v>480</v>
      </c>
      <c r="N197" s="323">
        <v>480</v>
      </c>
      <c r="O197" s="323">
        <v>480</v>
      </c>
      <c r="P197" s="324">
        <f t="shared" si="43"/>
        <v>3360</v>
      </c>
    </row>
    <row r="198" spans="1:256" s="186" customFormat="1" ht="12.75" hidden="1" customHeight="1">
      <c r="A198" s="319">
        <v>61</v>
      </c>
      <c r="B198" s="325" t="s">
        <v>40</v>
      </c>
      <c r="C198" s="316"/>
      <c r="D198" s="306" t="s">
        <v>136</v>
      </c>
      <c r="E198" s="306" t="s">
        <v>136</v>
      </c>
      <c r="F198" s="317">
        <v>2400</v>
      </c>
      <c r="G198" s="317">
        <v>2400</v>
      </c>
      <c r="H198" s="317">
        <v>2400</v>
      </c>
      <c r="I198" s="317">
        <v>2400</v>
      </c>
      <c r="J198" s="317">
        <v>2400</v>
      </c>
      <c r="K198" s="317">
        <v>2400</v>
      </c>
      <c r="L198" s="317">
        <v>2400</v>
      </c>
      <c r="M198" s="317">
        <v>2400</v>
      </c>
      <c r="N198" s="317">
        <v>2400</v>
      </c>
      <c r="O198" s="317">
        <v>2400</v>
      </c>
      <c r="P198" s="318">
        <f t="shared" si="43"/>
        <v>14400</v>
      </c>
    </row>
    <row r="199" spans="1:256" ht="12.75" hidden="1" customHeight="1">
      <c r="A199" s="319">
        <v>62</v>
      </c>
      <c r="B199" s="325" t="s">
        <v>170</v>
      </c>
      <c r="C199" s="316"/>
      <c r="D199" s="306" t="s">
        <v>136</v>
      </c>
      <c r="E199" s="306" t="s">
        <v>136</v>
      </c>
      <c r="F199" s="317">
        <v>1200</v>
      </c>
      <c r="G199" s="317">
        <v>1200</v>
      </c>
      <c r="H199" s="317">
        <v>1200</v>
      </c>
      <c r="I199" s="317">
        <v>1200</v>
      </c>
      <c r="J199" s="317">
        <v>1200</v>
      </c>
      <c r="K199" s="317">
        <v>1200</v>
      </c>
      <c r="L199" s="317">
        <v>1200</v>
      </c>
      <c r="M199" s="317">
        <v>1200</v>
      </c>
      <c r="N199" s="317">
        <v>1200</v>
      </c>
      <c r="O199" s="317">
        <v>1200</v>
      </c>
      <c r="P199" s="318">
        <f t="shared" si="43"/>
        <v>7200</v>
      </c>
    </row>
    <row r="200" spans="1:256" s="41" customFormat="1" ht="12.75" hidden="1" customHeight="1">
      <c r="A200" s="319">
        <v>63</v>
      </c>
      <c r="B200" s="325" t="s">
        <v>169</v>
      </c>
      <c r="C200" s="316">
        <v>-210</v>
      </c>
      <c r="D200" s="306" t="s">
        <v>136</v>
      </c>
      <c r="E200" s="306" t="s">
        <v>136</v>
      </c>
      <c r="F200" s="317">
        <v>480</v>
      </c>
      <c r="G200" s="317">
        <f>480</f>
        <v>480</v>
      </c>
      <c r="H200" s="317">
        <v>480</v>
      </c>
      <c r="I200" s="317">
        <v>480</v>
      </c>
      <c r="J200" s="317">
        <v>480</v>
      </c>
      <c r="K200" s="317">
        <v>480</v>
      </c>
      <c r="L200" s="317">
        <v>480</v>
      </c>
      <c r="M200" s="317">
        <v>480</v>
      </c>
      <c r="N200" s="317">
        <v>480</v>
      </c>
      <c r="O200" s="317">
        <v>480</v>
      </c>
      <c r="P200" s="318">
        <f t="shared" si="43"/>
        <v>2880</v>
      </c>
    </row>
    <row r="201" spans="1:256" ht="12.75" hidden="1" customHeight="1">
      <c r="A201" s="319">
        <v>64</v>
      </c>
      <c r="B201" s="325" t="s">
        <v>171</v>
      </c>
      <c r="C201" s="316"/>
      <c r="D201" s="306" t="s">
        <v>136</v>
      </c>
      <c r="E201" s="306" t="s">
        <v>136</v>
      </c>
      <c r="F201" s="306" t="s">
        <v>136</v>
      </c>
      <c r="G201" s="317">
        <v>2400</v>
      </c>
      <c r="H201" s="317">
        <v>2400</v>
      </c>
      <c r="I201" s="317">
        <v>2400</v>
      </c>
      <c r="J201" s="317">
        <v>2400</v>
      </c>
      <c r="K201" s="317">
        <v>2400</v>
      </c>
      <c r="L201" s="317">
        <v>2400</v>
      </c>
      <c r="M201" s="317">
        <v>2400</v>
      </c>
      <c r="N201" s="317">
        <v>2400</v>
      </c>
      <c r="O201" s="317">
        <v>2400</v>
      </c>
      <c r="P201" s="318">
        <f t="shared" si="43"/>
        <v>12000</v>
      </c>
    </row>
    <row r="202" spans="1:256" s="191" customFormat="1" ht="12.75" hidden="1" customHeight="1">
      <c r="A202" s="319">
        <v>65</v>
      </c>
      <c r="B202" s="325" t="s">
        <v>172</v>
      </c>
      <c r="C202" s="316"/>
      <c r="D202" s="306" t="s">
        <v>136</v>
      </c>
      <c r="E202" s="306" t="s">
        <v>136</v>
      </c>
      <c r="F202" s="306" t="s">
        <v>136</v>
      </c>
      <c r="G202" s="317">
        <v>3850</v>
      </c>
      <c r="H202" s="317">
        <v>3850</v>
      </c>
      <c r="I202" s="317">
        <v>3850</v>
      </c>
      <c r="J202" s="317">
        <v>3850</v>
      </c>
      <c r="K202" s="317">
        <v>3850</v>
      </c>
      <c r="L202" s="317">
        <v>3850</v>
      </c>
      <c r="M202" s="317">
        <v>3850</v>
      </c>
      <c r="N202" s="317">
        <v>3850</v>
      </c>
      <c r="O202" s="317">
        <v>3850</v>
      </c>
      <c r="P202" s="318">
        <f t="shared" si="43"/>
        <v>19250</v>
      </c>
    </row>
    <row r="203" spans="1:256" s="185" customFormat="1" ht="12.75" hidden="1" customHeight="1">
      <c r="A203" s="319">
        <v>66</v>
      </c>
      <c r="B203" s="325" t="s">
        <v>173</v>
      </c>
      <c r="C203" s="316"/>
      <c r="D203" s="306" t="s">
        <v>136</v>
      </c>
      <c r="E203" s="306" t="s">
        <v>136</v>
      </c>
      <c r="F203" s="306" t="s">
        <v>136</v>
      </c>
      <c r="G203" s="317">
        <v>1450</v>
      </c>
      <c r="H203" s="317">
        <v>1450</v>
      </c>
      <c r="I203" s="317">
        <v>1450</v>
      </c>
      <c r="J203" s="317">
        <v>1450</v>
      </c>
      <c r="K203" s="317">
        <v>1450</v>
      </c>
      <c r="L203" s="317">
        <v>1450</v>
      </c>
      <c r="M203" s="317">
        <v>1450</v>
      </c>
      <c r="N203" s="317">
        <v>1450</v>
      </c>
      <c r="O203" s="317">
        <v>1450</v>
      </c>
      <c r="P203" s="318">
        <f t="shared" si="43"/>
        <v>7250</v>
      </c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  <c r="IQ203" s="13"/>
      <c r="IR203" s="13"/>
      <c r="IS203" s="13"/>
      <c r="IT203" s="13"/>
      <c r="IU203" s="13"/>
      <c r="IV203" s="13"/>
    </row>
    <row r="204" spans="1:256" s="185" customFormat="1" ht="12.75" hidden="1" customHeight="1">
      <c r="A204" s="326">
        <v>67</v>
      </c>
      <c r="B204" s="327" t="s">
        <v>173</v>
      </c>
      <c r="C204" s="322"/>
      <c r="D204" s="328" t="s">
        <v>136</v>
      </c>
      <c r="E204" s="328" t="s">
        <v>136</v>
      </c>
      <c r="F204" s="328" t="s">
        <v>136</v>
      </c>
      <c r="G204" s="328" t="s">
        <v>136</v>
      </c>
      <c r="H204" s="328" t="s">
        <v>136</v>
      </c>
      <c r="I204" s="328" t="s">
        <v>136</v>
      </c>
      <c r="J204" s="323">
        <v>5300</v>
      </c>
      <c r="K204" s="328" t="s">
        <v>136</v>
      </c>
      <c r="L204" s="323">
        <v>5300</v>
      </c>
      <c r="M204" s="329">
        <v>5300</v>
      </c>
      <c r="N204" s="328" t="s">
        <v>136</v>
      </c>
      <c r="O204" s="328" t="s">
        <v>136</v>
      </c>
      <c r="P204" s="324">
        <f t="shared" si="43"/>
        <v>5300</v>
      </c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  <c r="IQ204" s="13"/>
      <c r="IR204" s="13"/>
      <c r="IS204" s="13"/>
      <c r="IT204" s="13"/>
      <c r="IU204" s="13"/>
      <c r="IV204" s="13"/>
    </row>
    <row r="205" spans="1:256" s="217" customFormat="1" ht="12.75" hidden="1" customHeight="1">
      <c r="A205" s="302">
        <v>68</v>
      </c>
      <c r="B205" s="330" t="s">
        <v>40</v>
      </c>
      <c r="C205" s="331"/>
      <c r="D205" s="332" t="s">
        <v>136</v>
      </c>
      <c r="E205" s="332" t="s">
        <v>136</v>
      </c>
      <c r="F205" s="332" t="s">
        <v>136</v>
      </c>
      <c r="G205" s="332" t="s">
        <v>136</v>
      </c>
      <c r="H205" s="332" t="s">
        <v>136</v>
      </c>
      <c r="I205" s="332" t="s">
        <v>136</v>
      </c>
      <c r="J205" s="332" t="s">
        <v>136</v>
      </c>
      <c r="K205" s="332" t="s">
        <v>136</v>
      </c>
      <c r="L205" s="333">
        <v>2400</v>
      </c>
      <c r="M205" s="333">
        <v>2400</v>
      </c>
      <c r="N205" s="333">
        <v>2400</v>
      </c>
      <c r="O205" s="333">
        <v>2400</v>
      </c>
      <c r="P205" s="334">
        <f>SUM(D205:O205)</f>
        <v>9600</v>
      </c>
    </row>
    <row r="206" spans="1:256" s="83" customFormat="1" ht="12.75" hidden="1" customHeight="1">
      <c r="A206" s="302">
        <v>69</v>
      </c>
      <c r="B206" s="330" t="s">
        <v>174</v>
      </c>
      <c r="C206" s="331"/>
      <c r="D206" s="332" t="s">
        <v>136</v>
      </c>
      <c r="E206" s="332" t="s">
        <v>136</v>
      </c>
      <c r="F206" s="332" t="s">
        <v>136</v>
      </c>
      <c r="G206" s="332" t="s">
        <v>136</v>
      </c>
      <c r="H206" s="332" t="s">
        <v>136</v>
      </c>
      <c r="I206" s="332" t="s">
        <v>136</v>
      </c>
      <c r="J206" s="332" t="s">
        <v>136</v>
      </c>
      <c r="K206" s="332" t="s">
        <v>136</v>
      </c>
      <c r="L206" s="333">
        <v>2400</v>
      </c>
      <c r="M206" s="333">
        <v>2400</v>
      </c>
      <c r="N206" s="333">
        <v>2400</v>
      </c>
      <c r="O206" s="333">
        <v>2400</v>
      </c>
      <c r="P206" s="334">
        <f>SUM(D206:O206)</f>
        <v>9600</v>
      </c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  <c r="IK206" s="18"/>
      <c r="IL206" s="18"/>
      <c r="IM206" s="18"/>
      <c r="IN206" s="18"/>
      <c r="IO206" s="18"/>
      <c r="IP206" s="18"/>
      <c r="IQ206" s="18"/>
      <c r="IR206" s="18"/>
      <c r="IS206" s="18"/>
      <c r="IT206" s="18"/>
      <c r="IU206" s="18"/>
      <c r="IV206" s="18"/>
    </row>
    <row r="207" spans="1:256" ht="12.75" hidden="1" customHeight="1">
      <c r="A207" s="335">
        <v>70</v>
      </c>
      <c r="B207" s="336" t="s">
        <v>175</v>
      </c>
      <c r="C207" s="331"/>
      <c r="D207" s="332" t="s">
        <v>136</v>
      </c>
      <c r="E207" s="332" t="s">
        <v>136</v>
      </c>
      <c r="F207" s="332" t="s">
        <v>136</v>
      </c>
      <c r="G207" s="332" t="s">
        <v>136</v>
      </c>
      <c r="H207" s="332" t="s">
        <v>136</v>
      </c>
      <c r="I207" s="332" t="s">
        <v>136</v>
      </c>
      <c r="J207" s="332" t="s">
        <v>136</v>
      </c>
      <c r="K207" s="332" t="s">
        <v>136</v>
      </c>
      <c r="L207" s="332" t="s">
        <v>136</v>
      </c>
      <c r="M207" s="337">
        <v>3600</v>
      </c>
      <c r="N207" s="337">
        <v>3600</v>
      </c>
      <c r="O207" s="337">
        <v>3600</v>
      </c>
      <c r="P207" s="334">
        <f>SUM(E207:O207)</f>
        <v>10800</v>
      </c>
    </row>
    <row r="208" spans="1:256" ht="12.75" hidden="1" customHeight="1">
      <c r="A208" s="302">
        <v>71</v>
      </c>
      <c r="B208" s="330" t="s">
        <v>40</v>
      </c>
      <c r="C208" s="331"/>
      <c r="D208" s="332" t="s">
        <v>136</v>
      </c>
      <c r="E208" s="332" t="s">
        <v>136</v>
      </c>
      <c r="F208" s="332" t="s">
        <v>136</v>
      </c>
      <c r="G208" s="332" t="s">
        <v>136</v>
      </c>
      <c r="H208" s="332" t="s">
        <v>136</v>
      </c>
      <c r="I208" s="332" t="s">
        <v>136</v>
      </c>
      <c r="J208" s="332" t="s">
        <v>136</v>
      </c>
      <c r="K208" s="332" t="s">
        <v>136</v>
      </c>
      <c r="L208" s="332" t="s">
        <v>136</v>
      </c>
      <c r="M208" s="332" t="s">
        <v>136</v>
      </c>
      <c r="N208" s="337">
        <v>1200</v>
      </c>
      <c r="O208" s="337">
        <v>1200</v>
      </c>
      <c r="P208" s="334">
        <f>SUM(E208:O208)</f>
        <v>2400</v>
      </c>
    </row>
    <row r="209" spans="1:256" ht="12.75" hidden="1" customHeight="1">
      <c r="A209" s="837"/>
      <c r="B209" s="338"/>
      <c r="C209" s="339"/>
      <c r="D209" s="340"/>
      <c r="E209" s="340"/>
      <c r="F209" s="340"/>
      <c r="G209" s="340"/>
      <c r="H209" s="340"/>
      <c r="I209" s="340"/>
      <c r="J209" s="340"/>
      <c r="K209" s="340"/>
      <c r="L209" s="340"/>
      <c r="M209" s="340"/>
      <c r="N209" s="340"/>
      <c r="O209" s="340"/>
      <c r="P209" s="340"/>
    </row>
    <row r="210" spans="1:256" ht="12.75" hidden="1" customHeight="1">
      <c r="A210" s="837"/>
      <c r="B210" s="341" t="s">
        <v>187</v>
      </c>
      <c r="C210" s="339">
        <f>SUM(C192:C203)</f>
        <v>-210</v>
      </c>
      <c r="D210" s="340">
        <f>SUM(D192:D200)</f>
        <v>9850</v>
      </c>
      <c r="E210" s="340">
        <f>SUM(E192:E200)</f>
        <v>10330</v>
      </c>
      <c r="F210" s="340">
        <f>SUM(F192:F200)</f>
        <v>14410</v>
      </c>
      <c r="G210" s="340">
        <f>SUM(G192:G203)</f>
        <v>22110</v>
      </c>
      <c r="H210" s="340">
        <f>SUM(H192:H203)</f>
        <v>22110</v>
      </c>
      <c r="I210" s="340">
        <f>SUM(I192:I203)</f>
        <v>19460</v>
      </c>
      <c r="J210" s="340">
        <f>SUM(J192:J204)</f>
        <v>24760</v>
      </c>
      <c r="K210" s="340">
        <f>SUM(K192:K206)</f>
        <v>13460</v>
      </c>
      <c r="L210" s="340">
        <f>SUM(L192:L206)</f>
        <v>23560</v>
      </c>
      <c r="M210" s="340">
        <f>SUM(M192:M207)</f>
        <v>25960</v>
      </c>
      <c r="N210" s="340">
        <f>SUM(N192:N208)</f>
        <v>21860</v>
      </c>
      <c r="O210" s="340">
        <f t="shared" ref="O210:P210" si="44">SUM(O192:O208)</f>
        <v>21860</v>
      </c>
      <c r="P210" s="340">
        <f t="shared" si="44"/>
        <v>165040</v>
      </c>
    </row>
    <row r="211" spans="1:256" ht="12.75" hidden="1" customHeight="1">
      <c r="A211" s="837"/>
      <c r="B211" s="341"/>
      <c r="C211" s="339"/>
      <c r="D211" s="340"/>
      <c r="E211" s="340"/>
      <c r="F211" s="340"/>
      <c r="G211" s="340"/>
      <c r="H211" s="340"/>
      <c r="I211" s="340"/>
      <c r="J211" s="340"/>
      <c r="K211" s="340"/>
      <c r="L211" s="340"/>
      <c r="M211" s="340"/>
      <c r="N211" s="340"/>
      <c r="O211" s="340"/>
      <c r="P211" s="340"/>
    </row>
    <row r="212" spans="1:256" s="64" customFormat="1" ht="12.75" hidden="1" customHeight="1">
      <c r="A212" s="342" t="s">
        <v>105</v>
      </c>
      <c r="B212" s="343" t="s">
        <v>106</v>
      </c>
      <c r="C212" s="344"/>
      <c r="D212" s="317">
        <v>49731.5</v>
      </c>
      <c r="E212" s="317">
        <v>49012.74</v>
      </c>
      <c r="F212" s="317">
        <v>49037.67</v>
      </c>
      <c r="G212" s="317">
        <v>49025.2</v>
      </c>
      <c r="H212" s="317">
        <f>24537.53+24512.6</f>
        <v>49050.13</v>
      </c>
      <c r="I212" s="317">
        <f>25584.66*2+12738.63*2</f>
        <v>76646.58</v>
      </c>
      <c r="J212" s="345">
        <f>52115.06</f>
        <v>52115.06</v>
      </c>
      <c r="K212" s="317">
        <v>53190.96</v>
      </c>
      <c r="L212" s="345">
        <v>80897.55</v>
      </c>
      <c r="M212" s="317">
        <f>7060.27+14065.75+35164.38+20000</f>
        <v>76290.399999999994</v>
      </c>
      <c r="N212" s="317">
        <f>30000+30000</f>
        <v>60000</v>
      </c>
      <c r="O212" s="317">
        <f>40000*2</f>
        <v>80000</v>
      </c>
      <c r="P212" s="318">
        <f>SUM(C212:O212)</f>
        <v>724997.79</v>
      </c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  <c r="EW212" s="18"/>
      <c r="EX212" s="18"/>
      <c r="EY212" s="18"/>
      <c r="EZ212" s="18"/>
      <c r="FA212" s="18"/>
      <c r="FB212" s="18"/>
      <c r="FC212" s="18"/>
      <c r="FD212" s="18"/>
      <c r="FE212" s="18"/>
      <c r="FF212" s="18"/>
      <c r="FG212" s="18"/>
      <c r="FH212" s="18"/>
      <c r="FI212" s="18"/>
      <c r="FJ212" s="18"/>
      <c r="FK212" s="18"/>
      <c r="FL212" s="18"/>
      <c r="FM212" s="18"/>
      <c r="FN212" s="18"/>
      <c r="FO212" s="18"/>
      <c r="FP212" s="18"/>
      <c r="FQ212" s="18"/>
      <c r="FR212" s="18"/>
      <c r="FS212" s="18"/>
      <c r="FT212" s="18"/>
      <c r="FU212" s="18"/>
      <c r="FV212" s="18"/>
      <c r="FW212" s="18"/>
      <c r="FX212" s="18"/>
      <c r="FY212" s="18"/>
      <c r="FZ212" s="18"/>
      <c r="GA212" s="18"/>
      <c r="GB212" s="18"/>
      <c r="GC212" s="18"/>
      <c r="GD212" s="18"/>
      <c r="GE212" s="18"/>
      <c r="GF212" s="18"/>
      <c r="GG212" s="18"/>
      <c r="GH212" s="18"/>
      <c r="GI212" s="18"/>
      <c r="GJ212" s="18"/>
      <c r="GK212" s="18"/>
      <c r="GL212" s="18"/>
      <c r="GM212" s="18"/>
      <c r="GN212" s="18"/>
      <c r="GO212" s="18"/>
      <c r="GP212" s="18"/>
      <c r="GQ212" s="18"/>
      <c r="GR212" s="18"/>
      <c r="GS212" s="18"/>
      <c r="GT212" s="18"/>
      <c r="GU212" s="18"/>
      <c r="GV212" s="18"/>
      <c r="GW212" s="18"/>
      <c r="GX212" s="18"/>
      <c r="GY212" s="18"/>
      <c r="GZ212" s="18"/>
      <c r="HA212" s="18"/>
      <c r="HB212" s="18"/>
      <c r="HC212" s="18"/>
      <c r="HD212" s="18"/>
      <c r="HE212" s="18"/>
      <c r="HF212" s="18"/>
      <c r="HG212" s="18"/>
      <c r="HH212" s="18"/>
      <c r="HI212" s="18"/>
      <c r="HJ212" s="18"/>
      <c r="HK212" s="18"/>
      <c r="HL212" s="18"/>
      <c r="HM212" s="18"/>
      <c r="HN212" s="18"/>
      <c r="HO212" s="18"/>
      <c r="HP212" s="18"/>
      <c r="HQ212" s="18"/>
      <c r="HR212" s="18"/>
      <c r="HS212" s="18"/>
      <c r="HT212" s="18"/>
      <c r="HU212" s="18"/>
      <c r="HV212" s="18"/>
      <c r="HW212" s="18"/>
      <c r="HX212" s="18"/>
      <c r="HY212" s="18"/>
      <c r="HZ212" s="18"/>
      <c r="IA212" s="18"/>
      <c r="IB212" s="18"/>
      <c r="IC212" s="18"/>
      <c r="ID212" s="18"/>
      <c r="IE212" s="18"/>
      <c r="IF212" s="18"/>
      <c r="IG212" s="18"/>
      <c r="IH212" s="18"/>
      <c r="II212" s="18"/>
      <c r="IJ212" s="18"/>
      <c r="IK212" s="18"/>
      <c r="IL212" s="18"/>
      <c r="IM212" s="18"/>
      <c r="IN212" s="18"/>
      <c r="IO212" s="18"/>
      <c r="IP212" s="18"/>
      <c r="IQ212" s="18"/>
      <c r="IR212" s="18"/>
      <c r="IS212" s="18"/>
      <c r="IT212" s="18"/>
      <c r="IU212" s="18"/>
      <c r="IV212" s="18"/>
    </row>
    <row r="213" spans="1:256" s="64" customFormat="1" ht="12.75" hidden="1" customHeight="1">
      <c r="A213" s="346" t="s">
        <v>105</v>
      </c>
      <c r="B213" s="325" t="s">
        <v>107</v>
      </c>
      <c r="C213" s="344"/>
      <c r="D213" s="318"/>
      <c r="E213" s="318"/>
      <c r="F213" s="318"/>
      <c r="G213" s="318"/>
      <c r="H213" s="318"/>
      <c r="I213" s="318"/>
      <c r="J213" s="316"/>
      <c r="K213" s="318"/>
      <c r="L213" s="316"/>
      <c r="M213" s="317">
        <f>8177.53</f>
        <v>8177.53</v>
      </c>
      <c r="N213" s="317">
        <f>12131.51+12266.3</f>
        <v>24397.809999999998</v>
      </c>
      <c r="O213" s="317">
        <f>16355.07*2</f>
        <v>32710.14</v>
      </c>
      <c r="P213" s="318">
        <f>SUM(C213:O213)</f>
        <v>65285.479999999996</v>
      </c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8"/>
      <c r="FA213" s="18"/>
      <c r="FB213" s="18"/>
      <c r="FC213" s="18"/>
      <c r="FD213" s="18"/>
      <c r="FE213" s="18"/>
      <c r="FF213" s="18"/>
      <c r="FG213" s="18"/>
      <c r="FH213" s="18"/>
      <c r="FI213" s="18"/>
      <c r="FJ213" s="18"/>
      <c r="FK213" s="18"/>
      <c r="FL213" s="18"/>
      <c r="FM213" s="18"/>
      <c r="FN213" s="18"/>
      <c r="FO213" s="18"/>
      <c r="FP213" s="18"/>
      <c r="FQ213" s="18"/>
      <c r="FR213" s="18"/>
      <c r="FS213" s="18"/>
      <c r="FT213" s="18"/>
      <c r="FU213" s="18"/>
      <c r="FV213" s="18"/>
      <c r="FW213" s="18"/>
      <c r="FX213" s="18"/>
      <c r="FY213" s="18"/>
      <c r="FZ213" s="18"/>
      <c r="GA213" s="18"/>
      <c r="GB213" s="18"/>
      <c r="GC213" s="18"/>
      <c r="GD213" s="18"/>
      <c r="GE213" s="18"/>
      <c r="GF213" s="18"/>
      <c r="GG213" s="18"/>
      <c r="GH213" s="18"/>
      <c r="GI213" s="18"/>
      <c r="GJ213" s="18"/>
      <c r="GK213" s="18"/>
      <c r="GL213" s="18"/>
      <c r="GM213" s="18"/>
      <c r="GN213" s="18"/>
      <c r="GO213" s="18"/>
      <c r="GP213" s="18"/>
      <c r="GQ213" s="18"/>
      <c r="GR213" s="18"/>
      <c r="GS213" s="18"/>
      <c r="GT213" s="18"/>
      <c r="GU213" s="18"/>
      <c r="GV213" s="18"/>
      <c r="GW213" s="18"/>
      <c r="GX213" s="18"/>
      <c r="GY213" s="18"/>
      <c r="GZ213" s="18"/>
      <c r="HA213" s="18"/>
      <c r="HB213" s="18"/>
      <c r="HC213" s="18"/>
      <c r="HD213" s="18"/>
      <c r="HE213" s="18"/>
      <c r="HF213" s="18"/>
      <c r="HG213" s="18"/>
      <c r="HH213" s="18"/>
      <c r="HI213" s="18"/>
      <c r="HJ213" s="18"/>
      <c r="HK213" s="18"/>
      <c r="HL213" s="18"/>
      <c r="HM213" s="18"/>
      <c r="HN213" s="18"/>
      <c r="HO213" s="18"/>
      <c r="HP213" s="18"/>
      <c r="HQ213" s="18"/>
      <c r="HR213" s="18"/>
      <c r="HS213" s="18"/>
      <c r="HT213" s="18"/>
      <c r="HU213" s="18"/>
      <c r="HV213" s="18"/>
      <c r="HW213" s="18"/>
      <c r="HX213" s="18"/>
      <c r="HY213" s="18"/>
      <c r="HZ213" s="18"/>
      <c r="IA213" s="18"/>
      <c r="IB213" s="18"/>
      <c r="IC213" s="18"/>
      <c r="ID213" s="18"/>
      <c r="IE213" s="18"/>
      <c r="IF213" s="18"/>
      <c r="IG213" s="18"/>
      <c r="IH213" s="18"/>
      <c r="II213" s="18"/>
      <c r="IJ213" s="18"/>
      <c r="IK213" s="18"/>
      <c r="IL213" s="18"/>
      <c r="IM213" s="18"/>
      <c r="IN213" s="18"/>
      <c r="IO213" s="18"/>
      <c r="IP213" s="18"/>
      <c r="IQ213" s="18"/>
      <c r="IR213" s="18"/>
      <c r="IS213" s="18"/>
      <c r="IT213" s="18"/>
      <c r="IU213" s="18"/>
      <c r="IV213" s="18"/>
    </row>
    <row r="214" spans="1:256" s="64" customFormat="1" ht="12.75" hidden="1" customHeight="1">
      <c r="A214" s="824"/>
      <c r="B214" s="338"/>
      <c r="C214" s="339"/>
      <c r="D214" s="347"/>
      <c r="E214" s="347"/>
      <c r="F214" s="340"/>
      <c r="G214" s="340"/>
      <c r="H214" s="340"/>
      <c r="I214" s="340"/>
      <c r="J214" s="339"/>
      <c r="K214" s="340"/>
      <c r="L214" s="339"/>
      <c r="M214" s="340"/>
      <c r="N214" s="340"/>
      <c r="O214" s="340"/>
      <c r="P214" s="340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  <c r="FR214" s="18"/>
      <c r="FS214" s="18"/>
      <c r="FT214" s="18"/>
      <c r="FU214" s="18"/>
      <c r="FV214" s="18"/>
      <c r="FW214" s="18"/>
      <c r="FX214" s="18"/>
      <c r="FY214" s="18"/>
      <c r="FZ214" s="18"/>
      <c r="GA214" s="18"/>
      <c r="GB214" s="18"/>
      <c r="GC214" s="18"/>
      <c r="GD214" s="18"/>
      <c r="GE214" s="18"/>
      <c r="GF214" s="18"/>
      <c r="GG214" s="18"/>
      <c r="GH214" s="18"/>
      <c r="GI214" s="18"/>
      <c r="GJ214" s="18"/>
      <c r="GK214" s="18"/>
      <c r="GL214" s="18"/>
      <c r="GM214" s="18"/>
      <c r="GN214" s="18"/>
      <c r="GO214" s="18"/>
      <c r="GP214" s="18"/>
      <c r="GQ214" s="18"/>
      <c r="GR214" s="18"/>
      <c r="GS214" s="18"/>
      <c r="GT214" s="18"/>
      <c r="GU214" s="18"/>
      <c r="GV214" s="18"/>
      <c r="GW214" s="18"/>
      <c r="GX214" s="18"/>
      <c r="GY214" s="18"/>
      <c r="GZ214" s="18"/>
      <c r="HA214" s="18"/>
      <c r="HB214" s="18"/>
      <c r="HC214" s="18"/>
      <c r="HD214" s="18"/>
      <c r="HE214" s="18"/>
      <c r="HF214" s="18"/>
      <c r="HG214" s="18"/>
      <c r="HH214" s="18"/>
      <c r="HI214" s="18"/>
      <c r="HJ214" s="18"/>
      <c r="HK214" s="18"/>
      <c r="HL214" s="18"/>
      <c r="HM214" s="18"/>
      <c r="HN214" s="18"/>
      <c r="HO214" s="18"/>
      <c r="HP214" s="18"/>
      <c r="HQ214" s="18"/>
      <c r="HR214" s="18"/>
      <c r="HS214" s="18"/>
      <c r="HT214" s="18"/>
      <c r="HU214" s="18"/>
      <c r="HV214" s="18"/>
      <c r="HW214" s="18"/>
      <c r="HX214" s="18"/>
      <c r="HY214" s="18"/>
      <c r="HZ214" s="18"/>
      <c r="IA214" s="18"/>
      <c r="IB214" s="18"/>
      <c r="IC214" s="18"/>
      <c r="ID214" s="18"/>
      <c r="IE214" s="18"/>
      <c r="IF214" s="18"/>
      <c r="IG214" s="18"/>
      <c r="IH214" s="18"/>
      <c r="II214" s="18"/>
      <c r="IJ214" s="18"/>
      <c r="IK214" s="18"/>
      <c r="IL214" s="18"/>
      <c r="IM214" s="18"/>
      <c r="IN214" s="18"/>
      <c r="IO214" s="18"/>
      <c r="IP214" s="18"/>
      <c r="IQ214" s="18"/>
      <c r="IR214" s="18"/>
      <c r="IS214" s="18"/>
      <c r="IT214" s="18"/>
      <c r="IU214" s="18"/>
      <c r="IV214" s="18"/>
    </row>
    <row r="215" spans="1:256" s="64" customFormat="1" ht="12.75" hidden="1" customHeight="1">
      <c r="A215" s="824" t="s">
        <v>105</v>
      </c>
      <c r="B215" s="837" t="s">
        <v>188</v>
      </c>
      <c r="C215" s="339"/>
      <c r="D215" s="347">
        <f>SUM(D212:D213)</f>
        <v>49731.5</v>
      </c>
      <c r="E215" s="347">
        <f t="shared" ref="E215:O215" si="45">SUM(E212:E213)</f>
        <v>49012.74</v>
      </c>
      <c r="F215" s="347">
        <f t="shared" si="45"/>
        <v>49037.67</v>
      </c>
      <c r="G215" s="347">
        <f t="shared" si="45"/>
        <v>49025.2</v>
      </c>
      <c r="H215" s="347">
        <f t="shared" si="45"/>
        <v>49050.13</v>
      </c>
      <c r="I215" s="347">
        <f t="shared" si="45"/>
        <v>76646.58</v>
      </c>
      <c r="J215" s="347">
        <f t="shared" si="45"/>
        <v>52115.06</v>
      </c>
      <c r="K215" s="347">
        <f t="shared" si="45"/>
        <v>53190.96</v>
      </c>
      <c r="L215" s="347">
        <f t="shared" si="45"/>
        <v>80897.55</v>
      </c>
      <c r="M215" s="347">
        <f t="shared" si="45"/>
        <v>84467.93</v>
      </c>
      <c r="N215" s="347">
        <f t="shared" si="45"/>
        <v>84397.81</v>
      </c>
      <c r="O215" s="347">
        <f t="shared" si="45"/>
        <v>112710.14</v>
      </c>
      <c r="P215" s="340">
        <f>SUM(C215:O215)</f>
        <v>790283.27000000014</v>
      </c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  <c r="GF215" s="18"/>
      <c r="GG215" s="18"/>
      <c r="GH215" s="18"/>
      <c r="GI215" s="18"/>
      <c r="GJ215" s="18"/>
      <c r="GK215" s="18"/>
      <c r="GL215" s="18"/>
      <c r="GM215" s="18"/>
      <c r="GN215" s="18"/>
      <c r="GO215" s="18"/>
      <c r="GP215" s="18"/>
      <c r="GQ215" s="18"/>
      <c r="GR215" s="18"/>
      <c r="GS215" s="18"/>
      <c r="GT215" s="18"/>
      <c r="GU215" s="18"/>
      <c r="GV215" s="18"/>
      <c r="GW215" s="18"/>
      <c r="GX215" s="18"/>
      <c r="GY215" s="18"/>
      <c r="GZ215" s="18"/>
      <c r="HA215" s="18"/>
      <c r="HB215" s="18"/>
      <c r="HC215" s="18"/>
      <c r="HD215" s="18"/>
      <c r="HE215" s="18"/>
      <c r="HF215" s="18"/>
      <c r="HG215" s="18"/>
      <c r="HH215" s="18"/>
      <c r="HI215" s="18"/>
      <c r="HJ215" s="18"/>
      <c r="HK215" s="18"/>
      <c r="HL215" s="18"/>
      <c r="HM215" s="18"/>
      <c r="HN215" s="18"/>
      <c r="HO215" s="18"/>
      <c r="HP215" s="18"/>
      <c r="HQ215" s="18"/>
      <c r="HR215" s="18"/>
      <c r="HS215" s="18"/>
      <c r="HT215" s="18"/>
      <c r="HU215" s="18"/>
      <c r="HV215" s="18"/>
      <c r="HW215" s="18"/>
      <c r="HX215" s="18"/>
      <c r="HY215" s="18"/>
      <c r="HZ215" s="18"/>
      <c r="IA215" s="18"/>
      <c r="IB215" s="18"/>
      <c r="IC215" s="18"/>
      <c r="ID215" s="18"/>
      <c r="IE215" s="18"/>
      <c r="IF215" s="18"/>
      <c r="IG215" s="18"/>
      <c r="IH215" s="18"/>
      <c r="II215" s="18"/>
      <c r="IJ215" s="18"/>
      <c r="IK215" s="18"/>
      <c r="IL215" s="18"/>
      <c r="IM215" s="18"/>
      <c r="IN215" s="18"/>
      <c r="IO215" s="18"/>
      <c r="IP215" s="18"/>
      <c r="IQ215" s="18"/>
      <c r="IR215" s="18"/>
      <c r="IS215" s="18"/>
      <c r="IT215" s="18"/>
      <c r="IU215" s="18"/>
      <c r="IV215" s="18"/>
    </row>
    <row r="216" spans="1:256" s="64" customFormat="1" ht="12.75" hidden="1" customHeight="1">
      <c r="A216" s="824"/>
      <c r="B216" s="837"/>
      <c r="C216" s="339"/>
      <c r="D216" s="347"/>
      <c r="E216" s="347"/>
      <c r="F216" s="347"/>
      <c r="G216" s="347"/>
      <c r="H216" s="347"/>
      <c r="I216" s="347"/>
      <c r="J216" s="347"/>
      <c r="K216" s="347"/>
      <c r="L216" s="347"/>
      <c r="M216" s="347"/>
      <c r="N216" s="347"/>
      <c r="O216" s="347"/>
      <c r="P216" s="340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  <c r="FM216" s="18"/>
      <c r="FN216" s="18"/>
      <c r="FO216" s="18"/>
      <c r="FP216" s="18"/>
      <c r="FQ216" s="18"/>
      <c r="FR216" s="18"/>
      <c r="FS216" s="18"/>
      <c r="FT216" s="18"/>
      <c r="FU216" s="18"/>
      <c r="FV216" s="18"/>
      <c r="FW216" s="18"/>
      <c r="FX216" s="18"/>
      <c r="FY216" s="18"/>
      <c r="FZ216" s="18"/>
      <c r="GA216" s="18"/>
      <c r="GB216" s="18"/>
      <c r="GC216" s="18"/>
      <c r="GD216" s="18"/>
      <c r="GE216" s="18"/>
      <c r="GF216" s="18"/>
      <c r="GG216" s="18"/>
      <c r="GH216" s="18"/>
      <c r="GI216" s="18"/>
      <c r="GJ216" s="18"/>
      <c r="GK216" s="18"/>
      <c r="GL216" s="18"/>
      <c r="GM216" s="18"/>
      <c r="GN216" s="18"/>
      <c r="GO216" s="18"/>
      <c r="GP216" s="18"/>
      <c r="GQ216" s="18"/>
      <c r="GR216" s="18"/>
      <c r="GS216" s="18"/>
      <c r="GT216" s="18"/>
      <c r="GU216" s="18"/>
      <c r="GV216" s="18"/>
      <c r="GW216" s="18"/>
      <c r="GX216" s="18"/>
      <c r="GY216" s="18"/>
      <c r="GZ216" s="18"/>
      <c r="HA216" s="18"/>
      <c r="HB216" s="18"/>
      <c r="HC216" s="18"/>
      <c r="HD216" s="18"/>
      <c r="HE216" s="18"/>
      <c r="HF216" s="18"/>
      <c r="HG216" s="18"/>
      <c r="HH216" s="18"/>
      <c r="HI216" s="18"/>
      <c r="HJ216" s="18"/>
      <c r="HK216" s="18"/>
      <c r="HL216" s="18"/>
      <c r="HM216" s="18"/>
      <c r="HN216" s="18"/>
      <c r="HO216" s="18"/>
      <c r="HP216" s="18"/>
      <c r="HQ216" s="18"/>
      <c r="HR216" s="18"/>
      <c r="HS216" s="18"/>
      <c r="HT216" s="18"/>
      <c r="HU216" s="18"/>
      <c r="HV216" s="18"/>
      <c r="HW216" s="18"/>
      <c r="HX216" s="18"/>
      <c r="HY216" s="18"/>
      <c r="HZ216" s="18"/>
      <c r="IA216" s="18"/>
      <c r="IB216" s="18"/>
      <c r="IC216" s="18"/>
      <c r="ID216" s="18"/>
      <c r="IE216" s="18"/>
      <c r="IF216" s="18"/>
      <c r="IG216" s="18"/>
      <c r="IH216" s="18"/>
      <c r="II216" s="18"/>
      <c r="IJ216" s="18"/>
      <c r="IK216" s="18"/>
      <c r="IL216" s="18"/>
      <c r="IM216" s="18"/>
      <c r="IN216" s="18"/>
      <c r="IO216" s="18"/>
      <c r="IP216" s="18"/>
      <c r="IQ216" s="18"/>
      <c r="IR216" s="18"/>
      <c r="IS216" s="18"/>
      <c r="IT216" s="18"/>
      <c r="IU216" s="18"/>
      <c r="IV216" s="18"/>
    </row>
    <row r="217" spans="1:256" s="64" customFormat="1" ht="12.75" hidden="1" customHeight="1">
      <c r="A217" s="342" t="s">
        <v>105</v>
      </c>
      <c r="B217" s="348" t="s">
        <v>108</v>
      </c>
      <c r="C217" s="318"/>
      <c r="D217" s="317">
        <f>3529.64+2949.7</f>
        <v>6479.34</v>
      </c>
      <c r="E217" s="317">
        <v>3625</v>
      </c>
      <c r="F217" s="317">
        <v>2790</v>
      </c>
      <c r="G217" s="317">
        <v>4557.6499999999996</v>
      </c>
      <c r="H217" s="317">
        <v>4116.3599999999997</v>
      </c>
      <c r="I217" s="317">
        <f>H217/2*3</f>
        <v>6174.5399999999991</v>
      </c>
      <c r="J217" s="317">
        <v>5274.5</v>
      </c>
      <c r="K217" s="317">
        <f>J217</f>
        <v>5274.5</v>
      </c>
      <c r="L217" s="317">
        <v>4395.71</v>
      </c>
      <c r="M217" s="318">
        <f>L217</f>
        <v>4395.71</v>
      </c>
      <c r="N217" s="318">
        <f>M217</f>
        <v>4395.71</v>
      </c>
      <c r="O217" s="318">
        <f>N217/2*3</f>
        <v>6593.5650000000005</v>
      </c>
      <c r="P217" s="318">
        <f>SUM(D217:O217)</f>
        <v>58072.584999999999</v>
      </c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18"/>
      <c r="FP217" s="18"/>
      <c r="FQ217" s="18"/>
      <c r="FR217" s="18"/>
      <c r="FS217" s="18"/>
      <c r="FT217" s="18"/>
      <c r="FU217" s="18"/>
      <c r="FV217" s="18"/>
      <c r="FW217" s="18"/>
      <c r="FX217" s="18"/>
      <c r="FY217" s="18"/>
      <c r="FZ217" s="18"/>
      <c r="GA217" s="18"/>
      <c r="GB217" s="18"/>
      <c r="GC217" s="18"/>
      <c r="GD217" s="18"/>
      <c r="GE217" s="18"/>
      <c r="GF217" s="18"/>
      <c r="GG217" s="18"/>
      <c r="GH217" s="18"/>
      <c r="GI217" s="18"/>
      <c r="GJ217" s="18"/>
      <c r="GK217" s="18"/>
      <c r="GL217" s="18"/>
      <c r="GM217" s="18"/>
      <c r="GN217" s="18"/>
      <c r="GO217" s="18"/>
      <c r="GP217" s="18"/>
      <c r="GQ217" s="18"/>
      <c r="GR217" s="18"/>
      <c r="GS217" s="18"/>
      <c r="GT217" s="18"/>
      <c r="GU217" s="18"/>
      <c r="GV217" s="18"/>
      <c r="GW217" s="18"/>
      <c r="GX217" s="18"/>
      <c r="GY217" s="18"/>
      <c r="GZ217" s="18"/>
      <c r="HA217" s="18"/>
      <c r="HB217" s="18"/>
      <c r="HC217" s="18"/>
      <c r="HD217" s="18"/>
      <c r="HE217" s="18"/>
      <c r="HF217" s="18"/>
      <c r="HG217" s="18"/>
      <c r="HH217" s="18"/>
      <c r="HI217" s="18"/>
      <c r="HJ217" s="18"/>
      <c r="HK217" s="18"/>
      <c r="HL217" s="18"/>
      <c r="HM217" s="18"/>
      <c r="HN217" s="18"/>
      <c r="HO217" s="18"/>
      <c r="HP217" s="18"/>
      <c r="HQ217" s="18"/>
      <c r="HR217" s="18"/>
      <c r="HS217" s="18"/>
      <c r="HT217" s="18"/>
      <c r="HU217" s="18"/>
      <c r="HV217" s="18"/>
      <c r="HW217" s="18"/>
      <c r="HX217" s="18"/>
      <c r="HY217" s="18"/>
      <c r="HZ217" s="18"/>
      <c r="IA217" s="18"/>
      <c r="IB217" s="18"/>
      <c r="IC217" s="18"/>
      <c r="ID217" s="18"/>
      <c r="IE217" s="18"/>
      <c r="IF217" s="18"/>
      <c r="IG217" s="18"/>
      <c r="IH217" s="18"/>
      <c r="II217" s="18"/>
      <c r="IJ217" s="18"/>
      <c r="IK217" s="18"/>
      <c r="IL217" s="18"/>
      <c r="IM217" s="18"/>
      <c r="IN217" s="18"/>
      <c r="IO217" s="18"/>
      <c r="IP217" s="18"/>
      <c r="IQ217" s="18"/>
      <c r="IR217" s="18"/>
      <c r="IS217" s="18"/>
      <c r="IT217" s="18"/>
      <c r="IU217" s="18"/>
      <c r="IV217" s="18"/>
    </row>
    <row r="218" spans="1:256" s="64" customFormat="1" ht="12.75" hidden="1" customHeight="1">
      <c r="A218" s="342" t="s">
        <v>105</v>
      </c>
      <c r="B218" s="348" t="s">
        <v>189</v>
      </c>
      <c r="C218" s="318"/>
      <c r="D218" s="317">
        <v>7000</v>
      </c>
      <c r="E218" s="317">
        <v>7000</v>
      </c>
      <c r="F218" s="318"/>
      <c r="G218" s="318"/>
      <c r="H218" s="318"/>
      <c r="I218" s="318"/>
      <c r="J218" s="318"/>
      <c r="K218" s="318"/>
      <c r="L218" s="318"/>
      <c r="M218" s="318"/>
      <c r="N218" s="318"/>
      <c r="O218" s="318"/>
      <c r="P218" s="318">
        <f>SUM(D218:O218)</f>
        <v>14000</v>
      </c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  <c r="GF218" s="18"/>
      <c r="GG218" s="18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  <c r="HB218" s="18"/>
      <c r="HC218" s="18"/>
      <c r="HD218" s="18"/>
      <c r="HE218" s="18"/>
      <c r="HF218" s="18"/>
      <c r="HG218" s="18"/>
      <c r="HH218" s="18"/>
      <c r="HI218" s="18"/>
      <c r="HJ218" s="18"/>
      <c r="HK218" s="18"/>
      <c r="HL218" s="18"/>
      <c r="HM218" s="18"/>
      <c r="HN218" s="18"/>
      <c r="HO218" s="18"/>
      <c r="HP218" s="18"/>
      <c r="HQ218" s="18"/>
      <c r="HR218" s="18"/>
      <c r="HS218" s="18"/>
      <c r="HT218" s="18"/>
      <c r="HU218" s="18"/>
      <c r="HV218" s="18"/>
      <c r="HW218" s="18"/>
      <c r="HX218" s="18"/>
      <c r="HY218" s="18"/>
      <c r="HZ218" s="18"/>
      <c r="IA218" s="18"/>
      <c r="IB218" s="18"/>
      <c r="IC218" s="18"/>
      <c r="ID218" s="18"/>
      <c r="IE218" s="18"/>
      <c r="IF218" s="18"/>
      <c r="IG218" s="18"/>
      <c r="IH218" s="18"/>
      <c r="II218" s="18"/>
      <c r="IJ218" s="18"/>
      <c r="IK218" s="18"/>
      <c r="IL218" s="18"/>
      <c r="IM218" s="18"/>
      <c r="IN218" s="18"/>
      <c r="IO218" s="18"/>
      <c r="IP218" s="18"/>
      <c r="IQ218" s="18"/>
      <c r="IR218" s="18"/>
      <c r="IS218" s="18"/>
      <c r="IT218" s="18"/>
      <c r="IU218" s="18"/>
      <c r="IV218" s="18"/>
    </row>
    <row r="219" spans="1:256" s="64" customFormat="1" ht="12.75" hidden="1" customHeight="1">
      <c r="A219" s="342" t="s">
        <v>105</v>
      </c>
      <c r="B219" s="348" t="s">
        <v>109</v>
      </c>
      <c r="C219" s="318"/>
      <c r="D219" s="317">
        <v>20284.45</v>
      </c>
      <c r="E219" s="317">
        <v>20284.45</v>
      </c>
      <c r="F219" s="317">
        <v>20284.45</v>
      </c>
      <c r="G219" s="317">
        <v>25861.33</v>
      </c>
      <c r="H219" s="317">
        <v>23072.89</v>
      </c>
      <c r="I219" s="317">
        <f>H219/2*3</f>
        <v>34609.334999999999</v>
      </c>
      <c r="J219" s="317">
        <v>29607.86</v>
      </c>
      <c r="K219" s="317">
        <f>J219</f>
        <v>29607.86</v>
      </c>
      <c r="L219" s="317">
        <v>27919.86</v>
      </c>
      <c r="M219" s="318">
        <f>L219</f>
        <v>27919.86</v>
      </c>
      <c r="N219" s="318">
        <f>M219</f>
        <v>27919.86</v>
      </c>
      <c r="O219" s="318">
        <f>14032.8+29485.59</f>
        <v>43518.39</v>
      </c>
      <c r="P219" s="318">
        <f>SUM(D219:O219)</f>
        <v>330890.59499999997</v>
      </c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  <c r="FM219" s="18"/>
      <c r="FN219" s="18"/>
      <c r="FO219" s="18"/>
      <c r="FP219" s="18"/>
      <c r="FQ219" s="18"/>
      <c r="FR219" s="18"/>
      <c r="FS219" s="18"/>
      <c r="FT219" s="18"/>
      <c r="FU219" s="18"/>
      <c r="FV219" s="18"/>
      <c r="FW219" s="18"/>
      <c r="FX219" s="18"/>
      <c r="FY219" s="18"/>
      <c r="FZ219" s="18"/>
      <c r="GA219" s="18"/>
      <c r="GB219" s="18"/>
      <c r="GC219" s="18"/>
      <c r="GD219" s="18"/>
      <c r="GE219" s="18"/>
      <c r="GF219" s="18"/>
      <c r="GG219" s="18"/>
      <c r="GH219" s="18"/>
      <c r="GI219" s="18"/>
      <c r="GJ219" s="18"/>
      <c r="GK219" s="18"/>
      <c r="GL219" s="18"/>
      <c r="GM219" s="18"/>
      <c r="GN219" s="18"/>
      <c r="GO219" s="18"/>
      <c r="GP219" s="18"/>
      <c r="GQ219" s="18"/>
      <c r="GR219" s="18"/>
      <c r="GS219" s="18"/>
      <c r="GT219" s="18"/>
      <c r="GU219" s="18"/>
      <c r="GV219" s="18"/>
      <c r="GW219" s="18"/>
      <c r="GX219" s="18"/>
      <c r="GY219" s="18"/>
      <c r="GZ219" s="18"/>
      <c r="HA219" s="18"/>
      <c r="HB219" s="18"/>
      <c r="HC219" s="18"/>
      <c r="HD219" s="18"/>
      <c r="HE219" s="18"/>
      <c r="HF219" s="18"/>
      <c r="HG219" s="18"/>
      <c r="HH219" s="18"/>
      <c r="HI219" s="18"/>
      <c r="HJ219" s="18"/>
      <c r="HK219" s="18"/>
      <c r="HL219" s="18"/>
      <c r="HM219" s="18"/>
      <c r="HN219" s="18"/>
      <c r="HO219" s="18"/>
      <c r="HP219" s="18"/>
      <c r="HQ219" s="18"/>
      <c r="HR219" s="18"/>
      <c r="HS219" s="18"/>
      <c r="HT219" s="18"/>
      <c r="HU219" s="18"/>
      <c r="HV219" s="18"/>
      <c r="HW219" s="18"/>
      <c r="HX219" s="18"/>
      <c r="HY219" s="18"/>
      <c r="HZ219" s="18"/>
      <c r="IA219" s="18"/>
      <c r="IB219" s="18"/>
      <c r="IC219" s="18"/>
      <c r="ID219" s="18"/>
      <c r="IE219" s="18"/>
      <c r="IF219" s="18"/>
      <c r="IG219" s="18"/>
      <c r="IH219" s="18"/>
      <c r="II219" s="18"/>
      <c r="IJ219" s="18"/>
      <c r="IK219" s="18"/>
      <c r="IL219" s="18"/>
      <c r="IM219" s="18"/>
      <c r="IN219" s="18"/>
      <c r="IO219" s="18"/>
      <c r="IP219" s="18"/>
      <c r="IQ219" s="18"/>
      <c r="IR219" s="18"/>
      <c r="IS219" s="18"/>
      <c r="IT219" s="18"/>
      <c r="IU219" s="18"/>
      <c r="IV219" s="18"/>
    </row>
    <row r="220" spans="1:256" s="64" customFormat="1" ht="12.75" hidden="1" customHeight="1">
      <c r="A220" s="342" t="s">
        <v>105</v>
      </c>
      <c r="B220" s="348" t="s">
        <v>110</v>
      </c>
      <c r="C220" s="318"/>
      <c r="D220" s="317">
        <v>7289.71</v>
      </c>
      <c r="E220" s="317">
        <f>D220</f>
        <v>7289.71</v>
      </c>
      <c r="F220" s="317">
        <v>7289.71</v>
      </c>
      <c r="G220" s="317">
        <f>F220</f>
        <v>7289.71</v>
      </c>
      <c r="H220" s="317">
        <f t="shared" ref="H220:N220" si="46">G220</f>
        <v>7289.71</v>
      </c>
      <c r="I220" s="317">
        <v>7593.33</v>
      </c>
      <c r="J220" s="317">
        <v>7896.96</v>
      </c>
      <c r="K220" s="317">
        <f t="shared" si="46"/>
        <v>7896.96</v>
      </c>
      <c r="L220" s="317">
        <v>8963.6200000000008</v>
      </c>
      <c r="M220" s="318">
        <f t="shared" si="46"/>
        <v>8963.6200000000008</v>
      </c>
      <c r="N220" s="318">
        <f t="shared" si="46"/>
        <v>8963.6200000000008</v>
      </c>
      <c r="O220" s="318">
        <v>13029.92</v>
      </c>
      <c r="P220" s="318">
        <f>SUM(D220:O220)</f>
        <v>99756.579999999987</v>
      </c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  <c r="FN220" s="18"/>
      <c r="FO220" s="18"/>
      <c r="FP220" s="18"/>
      <c r="FQ220" s="18"/>
      <c r="FR220" s="18"/>
      <c r="FS220" s="18"/>
      <c r="FT220" s="18"/>
      <c r="FU220" s="18"/>
      <c r="FV220" s="18"/>
      <c r="FW220" s="18"/>
      <c r="FX220" s="18"/>
      <c r="FY220" s="18"/>
      <c r="FZ220" s="18"/>
      <c r="GA220" s="18"/>
      <c r="GB220" s="18"/>
      <c r="GC220" s="18"/>
      <c r="GD220" s="18"/>
      <c r="GE220" s="18"/>
      <c r="GF220" s="18"/>
      <c r="GG220" s="18"/>
      <c r="GH220" s="18"/>
      <c r="GI220" s="18"/>
      <c r="GJ220" s="18"/>
      <c r="GK220" s="18"/>
      <c r="GL220" s="18"/>
      <c r="GM220" s="18"/>
      <c r="GN220" s="18"/>
      <c r="GO220" s="18"/>
      <c r="GP220" s="18"/>
      <c r="GQ220" s="18"/>
      <c r="GR220" s="18"/>
      <c r="GS220" s="18"/>
      <c r="GT220" s="18"/>
      <c r="GU220" s="18"/>
      <c r="GV220" s="18"/>
      <c r="GW220" s="18"/>
      <c r="GX220" s="18"/>
      <c r="GY220" s="18"/>
      <c r="GZ220" s="18"/>
      <c r="HA220" s="18"/>
      <c r="HB220" s="18"/>
      <c r="HC220" s="18"/>
      <c r="HD220" s="18"/>
      <c r="HE220" s="18"/>
      <c r="HF220" s="18"/>
      <c r="HG220" s="18"/>
      <c r="HH220" s="18"/>
      <c r="HI220" s="18"/>
      <c r="HJ220" s="18"/>
      <c r="HK220" s="18"/>
      <c r="HL220" s="18"/>
      <c r="HM220" s="18"/>
      <c r="HN220" s="18"/>
      <c r="HO220" s="18"/>
      <c r="HP220" s="18"/>
      <c r="HQ220" s="18"/>
      <c r="HR220" s="18"/>
      <c r="HS220" s="18"/>
      <c r="HT220" s="18"/>
      <c r="HU220" s="18"/>
      <c r="HV220" s="18"/>
      <c r="HW220" s="18"/>
      <c r="HX220" s="18"/>
      <c r="HY220" s="18"/>
      <c r="HZ220" s="18"/>
      <c r="IA220" s="18"/>
      <c r="IB220" s="18"/>
      <c r="IC220" s="18"/>
      <c r="ID220" s="18"/>
      <c r="IE220" s="18"/>
      <c r="IF220" s="18"/>
      <c r="IG220" s="18"/>
      <c r="IH220" s="18"/>
      <c r="II220" s="18"/>
      <c r="IJ220" s="18"/>
      <c r="IK220" s="18"/>
      <c r="IL220" s="18"/>
      <c r="IM220" s="18"/>
      <c r="IN220" s="18"/>
      <c r="IO220" s="18"/>
      <c r="IP220" s="18"/>
      <c r="IQ220" s="18"/>
      <c r="IR220" s="18"/>
      <c r="IS220" s="18"/>
      <c r="IT220" s="18"/>
      <c r="IU220" s="18"/>
      <c r="IV220" s="18"/>
    </row>
    <row r="221" spans="1:256" s="64" customFormat="1" ht="12.75" hidden="1" customHeight="1">
      <c r="A221" s="342" t="s">
        <v>105</v>
      </c>
      <c r="B221" s="348" t="s">
        <v>111</v>
      </c>
      <c r="C221" s="318"/>
      <c r="D221" s="317">
        <v>1656.59</v>
      </c>
      <c r="E221" s="317">
        <f>D221</f>
        <v>1656.59</v>
      </c>
      <c r="F221" s="317">
        <v>1656.59</v>
      </c>
      <c r="G221" s="317">
        <f>F221</f>
        <v>1656.59</v>
      </c>
      <c r="H221" s="317">
        <f>G221</f>
        <v>1656.59</v>
      </c>
      <c r="I221" s="317">
        <v>1656.59</v>
      </c>
      <c r="J221" s="317">
        <f>H221</f>
        <v>1656.59</v>
      </c>
      <c r="K221" s="317">
        <f>J221</f>
        <v>1656.59</v>
      </c>
      <c r="L221" s="317">
        <f>K221</f>
        <v>1656.59</v>
      </c>
      <c r="M221" s="318">
        <f>L221</f>
        <v>1656.59</v>
      </c>
      <c r="N221" s="318">
        <f>M221</f>
        <v>1656.59</v>
      </c>
      <c r="O221" s="318">
        <f>N221/2*3</f>
        <v>2484.8849999999998</v>
      </c>
      <c r="P221" s="318">
        <f>SUM(D221:O221)</f>
        <v>20707.374999999996</v>
      </c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  <c r="IF221" s="18"/>
      <c r="IG221" s="18"/>
      <c r="IH221" s="18"/>
      <c r="II221" s="18"/>
      <c r="IJ221" s="18"/>
      <c r="IK221" s="18"/>
      <c r="IL221" s="18"/>
      <c r="IM221" s="18"/>
      <c r="IN221" s="18"/>
      <c r="IO221" s="18"/>
      <c r="IP221" s="18"/>
      <c r="IQ221" s="18"/>
      <c r="IR221" s="18"/>
      <c r="IS221" s="18"/>
      <c r="IT221" s="18"/>
      <c r="IU221" s="18"/>
      <c r="IV221" s="18"/>
    </row>
    <row r="222" spans="1:256" s="64" customFormat="1" ht="12.75" hidden="1" customHeight="1">
      <c r="A222" s="824"/>
      <c r="B222" s="349"/>
      <c r="C222" s="347"/>
      <c r="D222" s="350"/>
      <c r="E222" s="350"/>
      <c r="F222" s="347"/>
      <c r="G222" s="347"/>
      <c r="H222" s="347"/>
      <c r="I222" s="347"/>
      <c r="J222" s="347"/>
      <c r="K222" s="347"/>
      <c r="L222" s="347"/>
      <c r="M222" s="347"/>
      <c r="N222" s="347"/>
      <c r="O222" s="347"/>
      <c r="P222" s="347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  <c r="GF222" s="18"/>
      <c r="GG222" s="18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/>
      <c r="GS222" s="18"/>
      <c r="GT222" s="18"/>
      <c r="GU222" s="18"/>
      <c r="GV222" s="18"/>
      <c r="GW222" s="18"/>
      <c r="GX222" s="18"/>
      <c r="GY222" s="18"/>
      <c r="GZ222" s="18"/>
      <c r="HA222" s="18"/>
      <c r="HB222" s="18"/>
      <c r="HC222" s="18"/>
      <c r="HD222" s="18"/>
      <c r="HE222" s="18"/>
      <c r="HF222" s="18"/>
      <c r="HG222" s="18"/>
      <c r="HH222" s="18"/>
      <c r="HI222" s="18"/>
      <c r="HJ222" s="18"/>
      <c r="HK222" s="18"/>
      <c r="HL222" s="18"/>
      <c r="HM222" s="18"/>
      <c r="HN222" s="18"/>
      <c r="HO222" s="18"/>
      <c r="HP222" s="18"/>
      <c r="HQ222" s="18"/>
      <c r="HR222" s="18"/>
      <c r="HS222" s="18"/>
      <c r="HT222" s="18"/>
      <c r="HU222" s="18"/>
      <c r="HV222" s="18"/>
      <c r="HW222" s="18"/>
      <c r="HX222" s="18"/>
      <c r="HY222" s="18"/>
      <c r="HZ222" s="18"/>
      <c r="IA222" s="18"/>
      <c r="IB222" s="18"/>
      <c r="IC222" s="18"/>
      <c r="ID222" s="18"/>
      <c r="IE222" s="18"/>
      <c r="IF222" s="18"/>
      <c r="IG222" s="18"/>
      <c r="IH222" s="18"/>
      <c r="II222" s="18"/>
      <c r="IJ222" s="18"/>
      <c r="IK222" s="18"/>
      <c r="IL222" s="18"/>
      <c r="IM222" s="18"/>
      <c r="IN222" s="18"/>
      <c r="IO222" s="18"/>
      <c r="IP222" s="18"/>
      <c r="IQ222" s="18"/>
      <c r="IR222" s="18"/>
      <c r="IS222" s="18"/>
      <c r="IT222" s="18"/>
      <c r="IU222" s="18"/>
      <c r="IV222" s="18"/>
    </row>
    <row r="223" spans="1:256" s="64" customFormat="1" ht="12.75" hidden="1" customHeight="1">
      <c r="A223" s="824" t="s">
        <v>105</v>
      </c>
      <c r="B223" s="341" t="s">
        <v>190</v>
      </c>
      <c r="C223" s="339">
        <f>SUM(C217:C220)</f>
        <v>0</v>
      </c>
      <c r="D223" s="339">
        <f>SUM(D217:D221)</f>
        <v>42710.09</v>
      </c>
      <c r="E223" s="339">
        <f t="shared" ref="E223:P223" si="47">SUM(E217:E221)</f>
        <v>39855.75</v>
      </c>
      <c r="F223" s="339">
        <f t="shared" si="47"/>
        <v>32020.75</v>
      </c>
      <c r="G223" s="339">
        <f t="shared" si="47"/>
        <v>39365.279999999999</v>
      </c>
      <c r="H223" s="339">
        <f t="shared" si="47"/>
        <v>36135.549999999996</v>
      </c>
      <c r="I223" s="339">
        <f t="shared" si="47"/>
        <v>50033.794999999998</v>
      </c>
      <c r="J223" s="339">
        <f t="shared" si="47"/>
        <v>44435.909999999996</v>
      </c>
      <c r="K223" s="339">
        <f t="shared" si="47"/>
        <v>44435.909999999996</v>
      </c>
      <c r="L223" s="339">
        <f t="shared" si="47"/>
        <v>42935.78</v>
      </c>
      <c r="M223" s="339">
        <f t="shared" si="47"/>
        <v>42935.78</v>
      </c>
      <c r="N223" s="339">
        <f t="shared" si="47"/>
        <v>42935.78</v>
      </c>
      <c r="O223" s="339">
        <f t="shared" si="47"/>
        <v>65626.759999999995</v>
      </c>
      <c r="P223" s="339">
        <f t="shared" si="47"/>
        <v>523427.13499999989</v>
      </c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  <c r="FH223" s="18"/>
      <c r="FI223" s="18"/>
      <c r="FJ223" s="18"/>
      <c r="FK223" s="18"/>
      <c r="FL223" s="18"/>
      <c r="FM223" s="18"/>
      <c r="FN223" s="18"/>
      <c r="FO223" s="18"/>
      <c r="FP223" s="18"/>
      <c r="FQ223" s="18"/>
      <c r="FR223" s="18"/>
      <c r="FS223" s="18"/>
      <c r="FT223" s="18"/>
      <c r="FU223" s="18"/>
      <c r="FV223" s="18"/>
      <c r="FW223" s="18"/>
      <c r="FX223" s="18"/>
      <c r="FY223" s="18"/>
      <c r="FZ223" s="18"/>
      <c r="GA223" s="18"/>
      <c r="GB223" s="18"/>
      <c r="GC223" s="18"/>
      <c r="GD223" s="18"/>
      <c r="GE223" s="18"/>
      <c r="GF223" s="18"/>
      <c r="GG223" s="18"/>
      <c r="GH223" s="18"/>
      <c r="GI223" s="18"/>
      <c r="GJ223" s="18"/>
      <c r="GK223" s="18"/>
      <c r="GL223" s="18"/>
      <c r="GM223" s="18"/>
      <c r="GN223" s="18"/>
      <c r="GO223" s="18"/>
      <c r="GP223" s="18"/>
      <c r="GQ223" s="18"/>
      <c r="GR223" s="18"/>
      <c r="GS223" s="18"/>
      <c r="GT223" s="18"/>
      <c r="GU223" s="18"/>
      <c r="GV223" s="18"/>
      <c r="GW223" s="18"/>
      <c r="GX223" s="18"/>
      <c r="GY223" s="18"/>
      <c r="GZ223" s="18"/>
      <c r="HA223" s="18"/>
      <c r="HB223" s="18"/>
      <c r="HC223" s="18"/>
      <c r="HD223" s="18"/>
      <c r="HE223" s="18"/>
      <c r="HF223" s="18"/>
      <c r="HG223" s="18"/>
      <c r="HH223" s="18"/>
      <c r="HI223" s="18"/>
      <c r="HJ223" s="18"/>
      <c r="HK223" s="18"/>
      <c r="HL223" s="18"/>
      <c r="HM223" s="18"/>
      <c r="HN223" s="18"/>
      <c r="HO223" s="18"/>
      <c r="HP223" s="18"/>
      <c r="HQ223" s="18"/>
      <c r="HR223" s="18"/>
      <c r="HS223" s="18"/>
      <c r="HT223" s="18"/>
      <c r="HU223" s="18"/>
      <c r="HV223" s="18"/>
      <c r="HW223" s="18"/>
      <c r="HX223" s="18"/>
      <c r="HY223" s="18"/>
      <c r="HZ223" s="18"/>
      <c r="IA223" s="18"/>
      <c r="IB223" s="18"/>
      <c r="IC223" s="18"/>
      <c r="ID223" s="18"/>
      <c r="IE223" s="18"/>
      <c r="IF223" s="18"/>
      <c r="IG223" s="18"/>
      <c r="IH223" s="18"/>
      <c r="II223" s="18"/>
      <c r="IJ223" s="18"/>
      <c r="IK223" s="18"/>
      <c r="IL223" s="18"/>
      <c r="IM223" s="18"/>
      <c r="IN223" s="18"/>
      <c r="IO223" s="18"/>
      <c r="IP223" s="18"/>
      <c r="IQ223" s="18"/>
      <c r="IR223" s="18"/>
      <c r="IS223" s="18"/>
      <c r="IT223" s="18"/>
      <c r="IU223" s="18"/>
      <c r="IV223" s="18"/>
    </row>
    <row r="224" spans="1:256" s="64" customFormat="1" ht="12.75" hidden="1" customHeight="1">
      <c r="A224" s="824"/>
      <c r="B224" s="341"/>
      <c r="C224" s="339"/>
      <c r="D224" s="339"/>
      <c r="E224" s="339"/>
      <c r="F224" s="339"/>
      <c r="G224" s="339"/>
      <c r="H224" s="339"/>
      <c r="I224" s="339"/>
      <c r="J224" s="339"/>
      <c r="K224" s="339"/>
      <c r="L224" s="339"/>
      <c r="M224" s="339"/>
      <c r="N224" s="339"/>
      <c r="O224" s="339"/>
      <c r="P224" s="339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8"/>
      <c r="EY224" s="18"/>
      <c r="EZ224" s="18"/>
      <c r="FA224" s="18"/>
      <c r="FB224" s="18"/>
      <c r="FC224" s="18"/>
      <c r="FD224" s="18"/>
      <c r="FE224" s="18"/>
      <c r="FF224" s="18"/>
      <c r="FG224" s="18"/>
      <c r="FH224" s="18"/>
      <c r="FI224" s="18"/>
      <c r="FJ224" s="18"/>
      <c r="FK224" s="18"/>
      <c r="FL224" s="18"/>
      <c r="FM224" s="18"/>
      <c r="FN224" s="18"/>
      <c r="FO224" s="18"/>
      <c r="FP224" s="18"/>
      <c r="FQ224" s="18"/>
      <c r="FR224" s="18"/>
      <c r="FS224" s="18"/>
      <c r="FT224" s="18"/>
      <c r="FU224" s="18"/>
      <c r="FV224" s="18"/>
      <c r="FW224" s="18"/>
      <c r="FX224" s="18"/>
      <c r="FY224" s="18"/>
      <c r="FZ224" s="18"/>
      <c r="GA224" s="18"/>
      <c r="GB224" s="18"/>
      <c r="GC224" s="18"/>
      <c r="GD224" s="18"/>
      <c r="GE224" s="18"/>
      <c r="GF224" s="18"/>
      <c r="GG224" s="18"/>
      <c r="GH224" s="18"/>
      <c r="GI224" s="18"/>
      <c r="GJ224" s="18"/>
      <c r="GK224" s="18"/>
      <c r="GL224" s="18"/>
      <c r="GM224" s="18"/>
      <c r="GN224" s="18"/>
      <c r="GO224" s="18"/>
      <c r="GP224" s="18"/>
      <c r="GQ224" s="18"/>
      <c r="GR224" s="18"/>
      <c r="GS224" s="18"/>
      <c r="GT224" s="18"/>
      <c r="GU224" s="18"/>
      <c r="GV224" s="18"/>
      <c r="GW224" s="18"/>
      <c r="GX224" s="18"/>
      <c r="GY224" s="18"/>
      <c r="GZ224" s="18"/>
      <c r="HA224" s="18"/>
      <c r="HB224" s="18"/>
      <c r="HC224" s="18"/>
      <c r="HD224" s="18"/>
      <c r="HE224" s="18"/>
      <c r="HF224" s="18"/>
      <c r="HG224" s="18"/>
      <c r="HH224" s="18"/>
      <c r="HI224" s="18"/>
      <c r="HJ224" s="18"/>
      <c r="HK224" s="18"/>
      <c r="HL224" s="18"/>
      <c r="HM224" s="18"/>
      <c r="HN224" s="18"/>
      <c r="HO224" s="18"/>
      <c r="HP224" s="18"/>
      <c r="HQ224" s="18"/>
      <c r="HR224" s="18"/>
      <c r="HS224" s="18"/>
      <c r="HT224" s="18"/>
      <c r="HU224" s="18"/>
      <c r="HV224" s="18"/>
      <c r="HW224" s="18"/>
      <c r="HX224" s="18"/>
      <c r="HY224" s="18"/>
      <c r="HZ224" s="18"/>
      <c r="IA224" s="18"/>
      <c r="IB224" s="18"/>
      <c r="IC224" s="18"/>
      <c r="ID224" s="18"/>
      <c r="IE224" s="18"/>
      <c r="IF224" s="18"/>
      <c r="IG224" s="18"/>
      <c r="IH224" s="18"/>
      <c r="II224" s="18"/>
      <c r="IJ224" s="18"/>
      <c r="IK224" s="18"/>
      <c r="IL224" s="18"/>
      <c r="IM224" s="18"/>
      <c r="IN224" s="18"/>
      <c r="IO224" s="18"/>
      <c r="IP224" s="18"/>
      <c r="IQ224" s="18"/>
      <c r="IR224" s="18"/>
      <c r="IS224" s="18"/>
      <c r="IT224" s="18"/>
      <c r="IU224" s="18"/>
      <c r="IV224" s="18"/>
    </row>
    <row r="225" spans="1:256" s="64" customFormat="1" ht="12.75" hidden="1" customHeight="1">
      <c r="A225" s="351" t="s">
        <v>105</v>
      </c>
      <c r="B225" s="325" t="s">
        <v>191</v>
      </c>
      <c r="C225" s="318"/>
      <c r="D225" s="318"/>
      <c r="E225" s="318"/>
      <c r="F225" s="318"/>
      <c r="G225" s="318"/>
      <c r="H225" s="318"/>
      <c r="I225" s="317">
        <v>4500</v>
      </c>
      <c r="J225" s="318">
        <v>4500</v>
      </c>
      <c r="K225" s="318"/>
      <c r="L225" s="318"/>
      <c r="M225" s="318"/>
      <c r="N225" s="318"/>
      <c r="O225" s="318"/>
      <c r="P225" s="318">
        <f>SUM(C225:O225)</f>
        <v>9000</v>
      </c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  <c r="GY225" s="18"/>
      <c r="GZ225" s="18"/>
      <c r="HA225" s="18"/>
      <c r="HB225" s="18"/>
      <c r="HC225" s="18"/>
      <c r="HD225" s="18"/>
      <c r="HE225" s="18"/>
      <c r="HF225" s="18"/>
      <c r="HG225" s="18"/>
      <c r="HH225" s="18"/>
      <c r="HI225" s="18"/>
      <c r="HJ225" s="18"/>
      <c r="HK225" s="18"/>
      <c r="HL225" s="18"/>
      <c r="HM225" s="18"/>
      <c r="HN225" s="18"/>
      <c r="HO225" s="18"/>
      <c r="HP225" s="18"/>
      <c r="HQ225" s="18"/>
      <c r="HR225" s="18"/>
      <c r="HS225" s="18"/>
      <c r="HT225" s="18"/>
      <c r="HU225" s="18"/>
      <c r="HV225" s="18"/>
      <c r="HW225" s="18"/>
      <c r="HX225" s="18"/>
      <c r="HY225" s="18"/>
      <c r="HZ225" s="18"/>
      <c r="IA225" s="18"/>
      <c r="IB225" s="18"/>
      <c r="IC225" s="18"/>
      <c r="ID225" s="18"/>
      <c r="IE225" s="18"/>
      <c r="IF225" s="18"/>
      <c r="IG225" s="18"/>
      <c r="IH225" s="18"/>
      <c r="II225" s="18"/>
      <c r="IJ225" s="18"/>
      <c r="IK225" s="18"/>
      <c r="IL225" s="18"/>
      <c r="IM225" s="18"/>
      <c r="IN225" s="18"/>
      <c r="IO225" s="18"/>
      <c r="IP225" s="18"/>
      <c r="IQ225" s="18"/>
      <c r="IR225" s="18"/>
      <c r="IS225" s="18"/>
      <c r="IT225" s="18"/>
      <c r="IU225" s="18"/>
      <c r="IV225" s="18"/>
    </row>
    <row r="226" spans="1:256" s="64" customFormat="1" ht="12.75" hidden="1" customHeight="1">
      <c r="A226" s="342" t="s">
        <v>105</v>
      </c>
      <c r="B226" s="343" t="s">
        <v>163</v>
      </c>
      <c r="C226" s="318"/>
      <c r="D226" s="317">
        <v>1500</v>
      </c>
      <c r="E226" s="317">
        <v>1500</v>
      </c>
      <c r="F226" s="317">
        <v>1500</v>
      </c>
      <c r="G226" s="317">
        <v>1500</v>
      </c>
      <c r="H226" s="317">
        <v>1500</v>
      </c>
      <c r="I226" s="317">
        <v>1500</v>
      </c>
      <c r="J226" s="317">
        <v>2500</v>
      </c>
      <c r="K226" s="317">
        <v>2000</v>
      </c>
      <c r="L226" s="317">
        <v>2000</v>
      </c>
      <c r="M226" s="317">
        <v>2000</v>
      </c>
      <c r="N226" s="317">
        <v>2000</v>
      </c>
      <c r="O226" s="317">
        <v>2000</v>
      </c>
      <c r="P226" s="318">
        <f>SUM(C226:O226)</f>
        <v>21500</v>
      </c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18"/>
      <c r="FP226" s="18"/>
      <c r="FQ226" s="18"/>
      <c r="FR226" s="18"/>
      <c r="FS226" s="18"/>
      <c r="FT226" s="18"/>
      <c r="FU226" s="18"/>
      <c r="FV226" s="18"/>
      <c r="FW226" s="18"/>
      <c r="FX226" s="18"/>
      <c r="FY226" s="18"/>
      <c r="FZ226" s="18"/>
      <c r="GA226" s="18"/>
      <c r="GB226" s="18"/>
      <c r="GC226" s="18"/>
      <c r="GD226" s="18"/>
      <c r="GE226" s="18"/>
      <c r="GF226" s="18"/>
      <c r="GG226" s="18"/>
      <c r="GH226" s="18"/>
      <c r="GI226" s="18"/>
      <c r="GJ226" s="18"/>
      <c r="GK226" s="18"/>
      <c r="GL226" s="18"/>
      <c r="GM226" s="18"/>
      <c r="GN226" s="18"/>
      <c r="GO226" s="18"/>
      <c r="GP226" s="18"/>
      <c r="GQ226" s="18"/>
      <c r="GR226" s="18"/>
      <c r="GS226" s="18"/>
      <c r="GT226" s="18"/>
      <c r="GU226" s="18"/>
      <c r="GV226" s="18"/>
      <c r="GW226" s="18"/>
      <c r="GX226" s="18"/>
      <c r="GY226" s="18"/>
      <c r="GZ226" s="18"/>
      <c r="HA226" s="18"/>
      <c r="HB226" s="18"/>
      <c r="HC226" s="18"/>
      <c r="HD226" s="18"/>
      <c r="HE226" s="18"/>
      <c r="HF226" s="18"/>
      <c r="HG226" s="18"/>
      <c r="HH226" s="18"/>
      <c r="HI226" s="18"/>
      <c r="HJ226" s="18"/>
      <c r="HK226" s="18"/>
      <c r="HL226" s="18"/>
      <c r="HM226" s="18"/>
      <c r="HN226" s="18"/>
      <c r="HO226" s="18"/>
      <c r="HP226" s="18"/>
      <c r="HQ226" s="18"/>
      <c r="HR226" s="18"/>
      <c r="HS226" s="18"/>
      <c r="HT226" s="18"/>
      <c r="HU226" s="18"/>
      <c r="HV226" s="18"/>
      <c r="HW226" s="18"/>
      <c r="HX226" s="18"/>
      <c r="HY226" s="18"/>
      <c r="HZ226" s="18"/>
      <c r="IA226" s="18"/>
      <c r="IB226" s="18"/>
      <c r="IC226" s="18"/>
      <c r="ID226" s="18"/>
      <c r="IE226" s="18"/>
      <c r="IF226" s="18"/>
      <c r="IG226" s="18"/>
      <c r="IH226" s="18"/>
      <c r="II226" s="18"/>
      <c r="IJ226" s="18"/>
      <c r="IK226" s="18"/>
      <c r="IL226" s="18"/>
      <c r="IM226" s="18"/>
      <c r="IN226" s="18"/>
      <c r="IO226" s="18"/>
      <c r="IP226" s="18"/>
      <c r="IQ226" s="18"/>
      <c r="IR226" s="18"/>
      <c r="IS226" s="18"/>
      <c r="IT226" s="18"/>
      <c r="IU226" s="18"/>
      <c r="IV226" s="18"/>
    </row>
    <row r="227" spans="1:256" s="64" customFormat="1" ht="12.75" hidden="1" customHeight="1">
      <c r="A227" s="824"/>
      <c r="B227" s="338"/>
      <c r="C227" s="347"/>
      <c r="D227" s="347"/>
      <c r="E227" s="347"/>
      <c r="F227" s="347"/>
      <c r="G227" s="347"/>
      <c r="H227" s="347"/>
      <c r="I227" s="347"/>
      <c r="J227" s="347"/>
      <c r="K227" s="347"/>
      <c r="L227" s="347"/>
      <c r="M227" s="347"/>
      <c r="N227" s="347"/>
      <c r="O227" s="347"/>
      <c r="P227" s="347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8"/>
      <c r="EY227" s="18"/>
      <c r="EZ227" s="18"/>
      <c r="FA227" s="18"/>
      <c r="FB227" s="18"/>
      <c r="FC227" s="18"/>
      <c r="FD227" s="18"/>
      <c r="FE227" s="18"/>
      <c r="FF227" s="18"/>
      <c r="FG227" s="18"/>
      <c r="FH227" s="18"/>
      <c r="FI227" s="18"/>
      <c r="FJ227" s="18"/>
      <c r="FK227" s="18"/>
      <c r="FL227" s="18"/>
      <c r="FM227" s="18"/>
      <c r="FN227" s="18"/>
      <c r="FO227" s="18"/>
      <c r="FP227" s="18"/>
      <c r="FQ227" s="18"/>
      <c r="FR227" s="18"/>
      <c r="FS227" s="18"/>
      <c r="FT227" s="18"/>
      <c r="FU227" s="18"/>
      <c r="FV227" s="18"/>
      <c r="FW227" s="18"/>
      <c r="FX227" s="18"/>
      <c r="FY227" s="18"/>
      <c r="FZ227" s="18"/>
      <c r="GA227" s="18"/>
      <c r="GB227" s="18"/>
      <c r="GC227" s="18"/>
      <c r="GD227" s="18"/>
      <c r="GE227" s="18"/>
      <c r="GF227" s="18"/>
      <c r="GG227" s="18"/>
      <c r="GH227" s="18"/>
      <c r="GI227" s="18"/>
      <c r="GJ227" s="18"/>
      <c r="GK227" s="18"/>
      <c r="GL227" s="18"/>
      <c r="GM227" s="18"/>
      <c r="GN227" s="18"/>
      <c r="GO227" s="18"/>
      <c r="GP227" s="18"/>
      <c r="GQ227" s="18"/>
      <c r="GR227" s="18"/>
      <c r="GS227" s="18"/>
      <c r="GT227" s="18"/>
      <c r="GU227" s="18"/>
      <c r="GV227" s="18"/>
      <c r="GW227" s="18"/>
      <c r="GX227" s="18"/>
      <c r="GY227" s="18"/>
      <c r="GZ227" s="18"/>
      <c r="HA227" s="18"/>
      <c r="HB227" s="18"/>
      <c r="HC227" s="18"/>
      <c r="HD227" s="18"/>
      <c r="HE227" s="18"/>
      <c r="HF227" s="18"/>
      <c r="HG227" s="18"/>
      <c r="HH227" s="18"/>
      <c r="HI227" s="18"/>
      <c r="HJ227" s="18"/>
      <c r="HK227" s="18"/>
      <c r="HL227" s="18"/>
      <c r="HM227" s="18"/>
      <c r="HN227" s="18"/>
      <c r="HO227" s="18"/>
      <c r="HP227" s="18"/>
      <c r="HQ227" s="18"/>
      <c r="HR227" s="18"/>
      <c r="HS227" s="18"/>
      <c r="HT227" s="18"/>
      <c r="HU227" s="18"/>
      <c r="HV227" s="18"/>
      <c r="HW227" s="18"/>
      <c r="HX227" s="18"/>
      <c r="HY227" s="18"/>
      <c r="HZ227" s="18"/>
      <c r="IA227" s="18"/>
      <c r="IB227" s="18"/>
      <c r="IC227" s="18"/>
      <c r="ID227" s="18"/>
      <c r="IE227" s="18"/>
      <c r="IF227" s="18"/>
      <c r="IG227" s="18"/>
      <c r="IH227" s="18"/>
      <c r="II227" s="18"/>
      <c r="IJ227" s="18"/>
      <c r="IK227" s="18"/>
      <c r="IL227" s="18"/>
      <c r="IM227" s="18"/>
      <c r="IN227" s="18"/>
      <c r="IO227" s="18"/>
      <c r="IP227" s="18"/>
      <c r="IQ227" s="18"/>
      <c r="IR227" s="18"/>
      <c r="IS227" s="18"/>
      <c r="IT227" s="18"/>
      <c r="IU227" s="18"/>
      <c r="IV227" s="18"/>
    </row>
    <row r="228" spans="1:256" s="64" customFormat="1" ht="12.75" hidden="1" customHeight="1">
      <c r="A228" s="824" t="s">
        <v>105</v>
      </c>
      <c r="B228" s="837" t="s">
        <v>192</v>
      </c>
      <c r="C228" s="347"/>
      <c r="D228" s="347">
        <f>SUM(D225:D226)</f>
        <v>1500</v>
      </c>
      <c r="E228" s="347">
        <f t="shared" ref="E228:P228" si="48">SUM(E225:E226)</f>
        <v>1500</v>
      </c>
      <c r="F228" s="347">
        <f t="shared" si="48"/>
        <v>1500</v>
      </c>
      <c r="G228" s="347">
        <f t="shared" si="48"/>
        <v>1500</v>
      </c>
      <c r="H228" s="347">
        <f t="shared" si="48"/>
        <v>1500</v>
      </c>
      <c r="I228" s="347">
        <f t="shared" si="48"/>
        <v>6000</v>
      </c>
      <c r="J228" s="347">
        <f t="shared" si="48"/>
        <v>7000</v>
      </c>
      <c r="K228" s="347">
        <f t="shared" si="48"/>
        <v>2000</v>
      </c>
      <c r="L228" s="347">
        <f t="shared" si="48"/>
        <v>2000</v>
      </c>
      <c r="M228" s="347">
        <f t="shared" si="48"/>
        <v>2000</v>
      </c>
      <c r="N228" s="347">
        <f t="shared" si="48"/>
        <v>2000</v>
      </c>
      <c r="O228" s="347">
        <f t="shared" si="48"/>
        <v>2000</v>
      </c>
      <c r="P228" s="347">
        <f t="shared" si="48"/>
        <v>30500</v>
      </c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8"/>
      <c r="EY228" s="18"/>
      <c r="EZ228" s="18"/>
      <c r="FA228" s="18"/>
      <c r="FB228" s="18"/>
      <c r="FC228" s="18"/>
      <c r="FD228" s="18"/>
      <c r="FE228" s="18"/>
      <c r="FF228" s="18"/>
      <c r="FG228" s="18"/>
      <c r="FH228" s="18"/>
      <c r="FI228" s="18"/>
      <c r="FJ228" s="18"/>
      <c r="FK228" s="18"/>
      <c r="FL228" s="18"/>
      <c r="FM228" s="18"/>
      <c r="FN228" s="18"/>
      <c r="FO228" s="18"/>
      <c r="FP228" s="18"/>
      <c r="FQ228" s="18"/>
      <c r="FR228" s="18"/>
      <c r="FS228" s="18"/>
      <c r="FT228" s="18"/>
      <c r="FU228" s="18"/>
      <c r="FV228" s="18"/>
      <c r="FW228" s="18"/>
      <c r="FX228" s="18"/>
      <c r="FY228" s="18"/>
      <c r="FZ228" s="18"/>
      <c r="GA228" s="18"/>
      <c r="GB228" s="18"/>
      <c r="GC228" s="18"/>
      <c r="GD228" s="18"/>
      <c r="GE228" s="18"/>
      <c r="GF228" s="18"/>
      <c r="GG228" s="18"/>
      <c r="GH228" s="18"/>
      <c r="GI228" s="18"/>
      <c r="GJ228" s="18"/>
      <c r="GK228" s="18"/>
      <c r="GL228" s="18"/>
      <c r="GM228" s="18"/>
      <c r="GN228" s="18"/>
      <c r="GO228" s="18"/>
      <c r="GP228" s="18"/>
      <c r="GQ228" s="18"/>
      <c r="GR228" s="18"/>
      <c r="GS228" s="18"/>
      <c r="GT228" s="18"/>
      <c r="GU228" s="18"/>
      <c r="GV228" s="18"/>
      <c r="GW228" s="18"/>
      <c r="GX228" s="18"/>
      <c r="GY228" s="18"/>
      <c r="GZ228" s="18"/>
      <c r="HA228" s="18"/>
      <c r="HB228" s="18"/>
      <c r="HC228" s="18"/>
      <c r="HD228" s="18"/>
      <c r="HE228" s="18"/>
      <c r="HF228" s="18"/>
      <c r="HG228" s="18"/>
      <c r="HH228" s="18"/>
      <c r="HI228" s="18"/>
      <c r="HJ228" s="18"/>
      <c r="HK228" s="18"/>
      <c r="HL228" s="18"/>
      <c r="HM228" s="18"/>
      <c r="HN228" s="18"/>
      <c r="HO228" s="18"/>
      <c r="HP228" s="18"/>
      <c r="HQ228" s="18"/>
      <c r="HR228" s="18"/>
      <c r="HS228" s="18"/>
      <c r="HT228" s="18"/>
      <c r="HU228" s="18"/>
      <c r="HV228" s="18"/>
      <c r="HW228" s="18"/>
      <c r="HX228" s="18"/>
      <c r="HY228" s="18"/>
      <c r="HZ228" s="18"/>
      <c r="IA228" s="18"/>
      <c r="IB228" s="18"/>
      <c r="IC228" s="18"/>
      <c r="ID228" s="18"/>
      <c r="IE228" s="18"/>
      <c r="IF228" s="18"/>
      <c r="IG228" s="18"/>
      <c r="IH228" s="18"/>
      <c r="II228" s="18"/>
      <c r="IJ228" s="18"/>
      <c r="IK228" s="18"/>
      <c r="IL228" s="18"/>
      <c r="IM228" s="18"/>
      <c r="IN228" s="18"/>
      <c r="IO228" s="18"/>
      <c r="IP228" s="18"/>
      <c r="IQ228" s="18"/>
      <c r="IR228" s="18"/>
      <c r="IS228" s="18"/>
      <c r="IT228" s="18"/>
      <c r="IU228" s="18"/>
      <c r="IV228" s="18"/>
    </row>
    <row r="229" spans="1:256" s="64" customFormat="1" ht="12.75" hidden="1" customHeight="1">
      <c r="A229" s="824"/>
      <c r="B229" s="837"/>
      <c r="C229" s="347"/>
      <c r="D229" s="347"/>
      <c r="E229" s="347"/>
      <c r="F229" s="347"/>
      <c r="G229" s="347"/>
      <c r="H229" s="347"/>
      <c r="I229" s="347"/>
      <c r="J229" s="347"/>
      <c r="K229" s="347"/>
      <c r="L229" s="347"/>
      <c r="M229" s="347"/>
      <c r="N229" s="347"/>
      <c r="O229" s="347"/>
      <c r="P229" s="347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  <c r="EW229" s="18"/>
      <c r="EX229" s="18"/>
      <c r="EY229" s="18"/>
      <c r="EZ229" s="18"/>
      <c r="FA229" s="18"/>
      <c r="FB229" s="18"/>
      <c r="FC229" s="18"/>
      <c r="FD229" s="18"/>
      <c r="FE229" s="18"/>
      <c r="FF229" s="18"/>
      <c r="FG229" s="18"/>
      <c r="FH229" s="18"/>
      <c r="FI229" s="18"/>
      <c r="FJ229" s="18"/>
      <c r="FK229" s="18"/>
      <c r="FL229" s="18"/>
      <c r="FM229" s="18"/>
      <c r="FN229" s="18"/>
      <c r="FO229" s="18"/>
      <c r="FP229" s="18"/>
      <c r="FQ229" s="18"/>
      <c r="FR229" s="18"/>
      <c r="FS229" s="18"/>
      <c r="FT229" s="18"/>
      <c r="FU229" s="18"/>
      <c r="FV229" s="18"/>
      <c r="FW229" s="18"/>
      <c r="FX229" s="18"/>
      <c r="FY229" s="18"/>
      <c r="FZ229" s="18"/>
      <c r="GA229" s="18"/>
      <c r="GB229" s="18"/>
      <c r="GC229" s="18"/>
      <c r="GD229" s="18"/>
      <c r="GE229" s="18"/>
      <c r="GF229" s="18"/>
      <c r="GG229" s="18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  <c r="GV229" s="18"/>
      <c r="GW229" s="18"/>
      <c r="GX229" s="18"/>
      <c r="GY229" s="18"/>
      <c r="GZ229" s="18"/>
      <c r="HA229" s="18"/>
      <c r="HB229" s="18"/>
      <c r="HC229" s="18"/>
      <c r="HD229" s="18"/>
      <c r="HE229" s="18"/>
      <c r="HF229" s="18"/>
      <c r="HG229" s="18"/>
      <c r="HH229" s="18"/>
      <c r="HI229" s="18"/>
      <c r="HJ229" s="18"/>
      <c r="HK229" s="18"/>
      <c r="HL229" s="18"/>
      <c r="HM229" s="18"/>
      <c r="HN229" s="18"/>
      <c r="HO229" s="18"/>
      <c r="HP229" s="18"/>
      <c r="HQ229" s="18"/>
      <c r="HR229" s="18"/>
      <c r="HS229" s="18"/>
      <c r="HT229" s="18"/>
      <c r="HU229" s="18"/>
      <c r="HV229" s="18"/>
      <c r="HW229" s="18"/>
      <c r="HX229" s="18"/>
      <c r="HY229" s="18"/>
      <c r="HZ229" s="18"/>
      <c r="IA229" s="18"/>
      <c r="IB229" s="18"/>
      <c r="IC229" s="18"/>
      <c r="ID229" s="18"/>
      <c r="IE229" s="18"/>
      <c r="IF229" s="18"/>
      <c r="IG229" s="18"/>
      <c r="IH229" s="18"/>
      <c r="II229" s="18"/>
      <c r="IJ229" s="18"/>
      <c r="IK229" s="18"/>
      <c r="IL229" s="18"/>
      <c r="IM229" s="18"/>
      <c r="IN229" s="18"/>
      <c r="IO229" s="18"/>
      <c r="IP229" s="18"/>
      <c r="IQ229" s="18"/>
      <c r="IR229" s="18"/>
      <c r="IS229" s="18"/>
      <c r="IT229" s="18"/>
      <c r="IU229" s="18"/>
      <c r="IV229" s="18"/>
    </row>
    <row r="230" spans="1:256" s="64" customFormat="1" ht="12.75" hidden="1" customHeight="1">
      <c r="A230" s="342" t="s">
        <v>193</v>
      </c>
      <c r="B230" s="325" t="s">
        <v>38</v>
      </c>
      <c r="C230" s="352" t="s">
        <v>194</v>
      </c>
      <c r="D230" s="353">
        <v>7000</v>
      </c>
      <c r="E230" s="353">
        <v>7000</v>
      </c>
      <c r="F230" s="353">
        <v>7000</v>
      </c>
      <c r="G230" s="353">
        <v>7000</v>
      </c>
      <c r="H230" s="353">
        <v>7000</v>
      </c>
      <c r="I230" s="353">
        <v>7000</v>
      </c>
      <c r="J230" s="353">
        <v>7000</v>
      </c>
      <c r="K230" s="353">
        <v>7000</v>
      </c>
      <c r="L230" s="353">
        <v>7000</v>
      </c>
      <c r="M230" s="353">
        <v>7000</v>
      </c>
      <c r="N230" s="353">
        <v>7000</v>
      </c>
      <c r="O230" s="353">
        <v>7000</v>
      </c>
      <c r="P230" s="354">
        <f>SUM(C230:O230)</f>
        <v>84000</v>
      </c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  <c r="EW230" s="18"/>
      <c r="EX230" s="18"/>
      <c r="EY230" s="18"/>
      <c r="EZ230" s="18"/>
      <c r="FA230" s="18"/>
      <c r="FB230" s="18"/>
      <c r="FC230" s="18"/>
      <c r="FD230" s="18"/>
      <c r="FE230" s="18"/>
      <c r="FF230" s="18"/>
      <c r="FG230" s="18"/>
      <c r="FH230" s="18"/>
      <c r="FI230" s="18"/>
      <c r="FJ230" s="18"/>
      <c r="FK230" s="18"/>
      <c r="FL230" s="18"/>
      <c r="FM230" s="18"/>
      <c r="FN230" s="18"/>
      <c r="FO230" s="18"/>
      <c r="FP230" s="18"/>
      <c r="FQ230" s="18"/>
      <c r="FR230" s="18"/>
      <c r="FS230" s="18"/>
      <c r="FT230" s="18"/>
      <c r="FU230" s="18"/>
      <c r="FV230" s="18"/>
      <c r="FW230" s="18"/>
      <c r="FX230" s="18"/>
      <c r="FY230" s="18"/>
      <c r="FZ230" s="18"/>
      <c r="GA230" s="18"/>
      <c r="GB230" s="18"/>
      <c r="GC230" s="18"/>
      <c r="GD230" s="18"/>
      <c r="GE230" s="18"/>
      <c r="GF230" s="18"/>
      <c r="GG230" s="18"/>
      <c r="GH230" s="18"/>
      <c r="GI230" s="18"/>
      <c r="GJ230" s="18"/>
      <c r="GK230" s="18"/>
      <c r="GL230" s="18"/>
      <c r="GM230" s="18"/>
      <c r="GN230" s="18"/>
      <c r="GO230" s="18"/>
      <c r="GP230" s="18"/>
      <c r="GQ230" s="18"/>
      <c r="GR230" s="18"/>
      <c r="GS230" s="18"/>
      <c r="GT230" s="18"/>
      <c r="GU230" s="18"/>
      <c r="GV230" s="18"/>
      <c r="GW230" s="18"/>
      <c r="GX230" s="18"/>
      <c r="GY230" s="18"/>
      <c r="GZ230" s="18"/>
      <c r="HA230" s="18"/>
      <c r="HB230" s="18"/>
      <c r="HC230" s="18"/>
      <c r="HD230" s="18"/>
      <c r="HE230" s="18"/>
      <c r="HF230" s="18"/>
      <c r="HG230" s="18"/>
      <c r="HH230" s="18"/>
      <c r="HI230" s="18"/>
      <c r="HJ230" s="18"/>
      <c r="HK230" s="18"/>
      <c r="HL230" s="18"/>
      <c r="HM230" s="18"/>
      <c r="HN230" s="18"/>
      <c r="HO230" s="18"/>
      <c r="HP230" s="18"/>
      <c r="HQ230" s="18"/>
      <c r="HR230" s="18"/>
      <c r="HS230" s="18"/>
      <c r="HT230" s="18"/>
      <c r="HU230" s="18"/>
      <c r="HV230" s="18"/>
      <c r="HW230" s="18"/>
      <c r="HX230" s="18"/>
      <c r="HY230" s="18"/>
      <c r="HZ230" s="18"/>
      <c r="IA230" s="18"/>
      <c r="IB230" s="18"/>
      <c r="IC230" s="18"/>
      <c r="ID230" s="18"/>
      <c r="IE230" s="18"/>
      <c r="IF230" s="18"/>
      <c r="IG230" s="18"/>
      <c r="IH230" s="18"/>
      <c r="II230" s="18"/>
      <c r="IJ230" s="18"/>
      <c r="IK230" s="18"/>
      <c r="IL230" s="18"/>
      <c r="IM230" s="18"/>
      <c r="IN230" s="18"/>
      <c r="IO230" s="18"/>
      <c r="IP230" s="18"/>
      <c r="IQ230" s="18"/>
      <c r="IR230" s="18"/>
      <c r="IS230" s="18"/>
      <c r="IT230" s="18"/>
      <c r="IU230" s="18"/>
      <c r="IV230" s="18"/>
    </row>
    <row r="231" spans="1:256" s="64" customFormat="1" ht="12.75" hidden="1" customHeight="1">
      <c r="A231" s="342" t="s">
        <v>122</v>
      </c>
      <c r="B231" s="325" t="s">
        <v>137</v>
      </c>
      <c r="C231" s="352" t="s">
        <v>194</v>
      </c>
      <c r="D231" s="354"/>
      <c r="E231" s="354"/>
      <c r="F231" s="353">
        <v>1700</v>
      </c>
      <c r="G231" s="353">
        <v>1700</v>
      </c>
      <c r="H231" s="353">
        <v>1700</v>
      </c>
      <c r="I231" s="353">
        <v>1700</v>
      </c>
      <c r="J231" s="353">
        <v>1700</v>
      </c>
      <c r="K231" s="353">
        <v>1700</v>
      </c>
      <c r="L231" s="353">
        <v>1700</v>
      </c>
      <c r="M231" s="353">
        <v>1700</v>
      </c>
      <c r="N231" s="354">
        <v>1700</v>
      </c>
      <c r="O231" s="354">
        <v>1700</v>
      </c>
      <c r="P231" s="354">
        <f t="shared" ref="P231:P240" si="49">SUM(C231:O231)</f>
        <v>17000</v>
      </c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  <c r="EW231" s="18"/>
      <c r="EX231" s="18"/>
      <c r="EY231" s="18"/>
      <c r="EZ231" s="18"/>
      <c r="FA231" s="18"/>
      <c r="FB231" s="18"/>
      <c r="FC231" s="18"/>
      <c r="FD231" s="18"/>
      <c r="FE231" s="18"/>
      <c r="FF231" s="18"/>
      <c r="FG231" s="18"/>
      <c r="FH231" s="18"/>
      <c r="FI231" s="18"/>
      <c r="FJ231" s="18"/>
      <c r="FK231" s="18"/>
      <c r="FL231" s="18"/>
      <c r="FM231" s="18"/>
      <c r="FN231" s="18"/>
      <c r="FO231" s="18"/>
      <c r="FP231" s="18"/>
      <c r="FQ231" s="18"/>
      <c r="FR231" s="18"/>
      <c r="FS231" s="18"/>
      <c r="FT231" s="18"/>
      <c r="FU231" s="18"/>
      <c r="FV231" s="18"/>
      <c r="FW231" s="18"/>
      <c r="FX231" s="18"/>
      <c r="FY231" s="18"/>
      <c r="FZ231" s="18"/>
      <c r="GA231" s="18"/>
      <c r="GB231" s="18"/>
      <c r="GC231" s="18"/>
      <c r="GD231" s="18"/>
      <c r="GE231" s="18"/>
      <c r="GF231" s="18"/>
      <c r="GG231" s="18"/>
      <c r="GH231" s="18"/>
      <c r="GI231" s="18"/>
      <c r="GJ231" s="18"/>
      <c r="GK231" s="18"/>
      <c r="GL231" s="18"/>
      <c r="GM231" s="18"/>
      <c r="GN231" s="18"/>
      <c r="GO231" s="18"/>
      <c r="GP231" s="18"/>
      <c r="GQ231" s="18"/>
      <c r="GR231" s="18"/>
      <c r="GS231" s="18"/>
      <c r="GT231" s="18"/>
      <c r="GU231" s="18"/>
      <c r="GV231" s="18"/>
      <c r="GW231" s="18"/>
      <c r="GX231" s="18"/>
      <c r="GY231" s="18"/>
      <c r="GZ231" s="18"/>
      <c r="HA231" s="18"/>
      <c r="HB231" s="18"/>
      <c r="HC231" s="18"/>
      <c r="HD231" s="18"/>
      <c r="HE231" s="18"/>
      <c r="HF231" s="18"/>
      <c r="HG231" s="18"/>
      <c r="HH231" s="18"/>
      <c r="HI231" s="18"/>
      <c r="HJ231" s="18"/>
      <c r="HK231" s="18"/>
      <c r="HL231" s="18"/>
      <c r="HM231" s="18"/>
      <c r="HN231" s="18"/>
      <c r="HO231" s="18"/>
      <c r="HP231" s="18"/>
      <c r="HQ231" s="18"/>
      <c r="HR231" s="18"/>
      <c r="HS231" s="18"/>
      <c r="HT231" s="18"/>
      <c r="HU231" s="18"/>
      <c r="HV231" s="18"/>
      <c r="HW231" s="18"/>
      <c r="HX231" s="18"/>
      <c r="HY231" s="18"/>
      <c r="HZ231" s="18"/>
      <c r="IA231" s="18"/>
      <c r="IB231" s="18"/>
      <c r="IC231" s="18"/>
      <c r="ID231" s="18"/>
      <c r="IE231" s="18"/>
      <c r="IF231" s="18"/>
      <c r="IG231" s="18"/>
      <c r="IH231" s="18"/>
      <c r="II231" s="18"/>
      <c r="IJ231" s="18"/>
      <c r="IK231" s="18"/>
      <c r="IL231" s="18"/>
      <c r="IM231" s="18"/>
      <c r="IN231" s="18"/>
      <c r="IO231" s="18"/>
      <c r="IP231" s="18"/>
      <c r="IQ231" s="18"/>
      <c r="IR231" s="18"/>
      <c r="IS231" s="18"/>
      <c r="IT231" s="18"/>
      <c r="IU231" s="18"/>
      <c r="IV231" s="18"/>
    </row>
    <row r="232" spans="1:256" s="64" customFormat="1" ht="12.75" hidden="1" customHeight="1">
      <c r="A232" s="355" t="s">
        <v>122</v>
      </c>
      <c r="B232" s="321" t="s">
        <v>138</v>
      </c>
      <c r="C232" s="356" t="s">
        <v>194</v>
      </c>
      <c r="D232" s="357"/>
      <c r="E232" s="357"/>
      <c r="F232" s="358">
        <v>1540</v>
      </c>
      <c r="G232" s="358">
        <v>1540</v>
      </c>
      <c r="H232" s="358">
        <v>1540</v>
      </c>
      <c r="I232" s="358">
        <v>1540</v>
      </c>
      <c r="J232" s="358">
        <v>1540</v>
      </c>
      <c r="K232" s="358">
        <v>1540</v>
      </c>
      <c r="L232" s="358">
        <v>1540</v>
      </c>
      <c r="M232" s="358">
        <v>1540</v>
      </c>
      <c r="N232" s="357">
        <v>1540</v>
      </c>
      <c r="O232" s="357">
        <v>1540</v>
      </c>
      <c r="P232" s="354">
        <f t="shared" si="49"/>
        <v>15400</v>
      </c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  <c r="EW232" s="18"/>
      <c r="EX232" s="18"/>
      <c r="EY232" s="18"/>
      <c r="EZ232" s="18"/>
      <c r="FA232" s="18"/>
      <c r="FB232" s="18"/>
      <c r="FC232" s="18"/>
      <c r="FD232" s="18"/>
      <c r="FE232" s="18"/>
      <c r="FF232" s="18"/>
      <c r="FG232" s="18"/>
      <c r="FH232" s="18"/>
      <c r="FI232" s="18"/>
      <c r="FJ232" s="18"/>
      <c r="FK232" s="18"/>
      <c r="FL232" s="18"/>
      <c r="FM232" s="18"/>
      <c r="FN232" s="18"/>
      <c r="FO232" s="18"/>
      <c r="FP232" s="18"/>
      <c r="FQ232" s="18"/>
      <c r="FR232" s="18"/>
      <c r="FS232" s="18"/>
      <c r="FT232" s="18"/>
      <c r="FU232" s="18"/>
      <c r="FV232" s="18"/>
      <c r="FW232" s="18"/>
      <c r="FX232" s="18"/>
      <c r="FY232" s="18"/>
      <c r="FZ232" s="18"/>
      <c r="GA232" s="18"/>
      <c r="GB232" s="18"/>
      <c r="GC232" s="18"/>
      <c r="GD232" s="18"/>
      <c r="GE232" s="18"/>
      <c r="GF232" s="18"/>
      <c r="GG232" s="18"/>
      <c r="GH232" s="18"/>
      <c r="GI232" s="18"/>
      <c r="GJ232" s="18"/>
      <c r="GK232" s="18"/>
      <c r="GL232" s="18"/>
      <c r="GM232" s="18"/>
      <c r="GN232" s="18"/>
      <c r="GO232" s="18"/>
      <c r="GP232" s="18"/>
      <c r="GQ232" s="18"/>
      <c r="GR232" s="18"/>
      <c r="GS232" s="18"/>
      <c r="GT232" s="18"/>
      <c r="GU232" s="18"/>
      <c r="GV232" s="18"/>
      <c r="GW232" s="18"/>
      <c r="GX232" s="18"/>
      <c r="GY232" s="18"/>
      <c r="GZ232" s="18"/>
      <c r="HA232" s="18"/>
      <c r="HB232" s="18"/>
      <c r="HC232" s="18"/>
      <c r="HD232" s="18"/>
      <c r="HE232" s="18"/>
      <c r="HF232" s="18"/>
      <c r="HG232" s="18"/>
      <c r="HH232" s="18"/>
      <c r="HI232" s="18"/>
      <c r="HJ232" s="18"/>
      <c r="HK232" s="18"/>
      <c r="HL232" s="18"/>
      <c r="HM232" s="18"/>
      <c r="HN232" s="18"/>
      <c r="HO232" s="18"/>
      <c r="HP232" s="18"/>
      <c r="HQ232" s="18"/>
      <c r="HR232" s="18"/>
      <c r="HS232" s="18"/>
      <c r="HT232" s="18"/>
      <c r="HU232" s="18"/>
      <c r="HV232" s="18"/>
      <c r="HW232" s="18"/>
      <c r="HX232" s="18"/>
      <c r="HY232" s="18"/>
      <c r="HZ232" s="18"/>
      <c r="IA232" s="18"/>
      <c r="IB232" s="18"/>
      <c r="IC232" s="18"/>
      <c r="ID232" s="18"/>
      <c r="IE232" s="18"/>
      <c r="IF232" s="18"/>
      <c r="IG232" s="18"/>
      <c r="IH232" s="18"/>
      <c r="II232" s="18"/>
      <c r="IJ232" s="18"/>
      <c r="IK232" s="18"/>
      <c r="IL232" s="18"/>
      <c r="IM232" s="18"/>
      <c r="IN232" s="18"/>
      <c r="IO232" s="18"/>
      <c r="IP232" s="18"/>
      <c r="IQ232" s="18"/>
      <c r="IR232" s="18"/>
      <c r="IS232" s="18"/>
      <c r="IT232" s="18"/>
      <c r="IU232" s="18"/>
      <c r="IV232" s="18"/>
    </row>
    <row r="233" spans="1:256" ht="12.75" hidden="1" customHeight="1">
      <c r="A233" s="355" t="s">
        <v>122</v>
      </c>
      <c r="B233" s="359" t="s">
        <v>139</v>
      </c>
      <c r="C233" s="360" t="s">
        <v>194</v>
      </c>
      <c r="D233" s="323">
        <v>10000</v>
      </c>
      <c r="E233" s="323">
        <v>10000</v>
      </c>
      <c r="F233" s="323">
        <v>10000</v>
      </c>
      <c r="G233" s="324"/>
      <c r="H233" s="324"/>
      <c r="I233" s="324"/>
      <c r="J233" s="322"/>
      <c r="K233" s="361"/>
      <c r="L233" s="322"/>
      <c r="M233" s="324"/>
      <c r="N233" s="324"/>
      <c r="O233" s="324"/>
      <c r="P233" s="354">
        <f t="shared" si="49"/>
        <v>30000</v>
      </c>
    </row>
    <row r="234" spans="1:256" ht="12.75" hidden="1" customHeight="1">
      <c r="A234" s="319" t="s">
        <v>122</v>
      </c>
      <c r="B234" s="325" t="s">
        <v>140</v>
      </c>
      <c r="C234" s="362" t="s">
        <v>194</v>
      </c>
      <c r="D234" s="363"/>
      <c r="E234" s="318"/>
      <c r="F234" s="317">
        <v>1000</v>
      </c>
      <c r="G234" s="317">
        <v>14000</v>
      </c>
      <c r="H234" s="318"/>
      <c r="I234" s="363"/>
      <c r="J234" s="363"/>
      <c r="K234" s="363"/>
      <c r="L234" s="363"/>
      <c r="M234" s="363"/>
      <c r="N234" s="363"/>
      <c r="O234" s="318"/>
      <c r="P234" s="354">
        <f t="shared" si="49"/>
        <v>15000</v>
      </c>
    </row>
    <row r="235" spans="1:256" ht="12.75" hidden="1" customHeight="1">
      <c r="A235" s="342" t="s">
        <v>122</v>
      </c>
      <c r="B235" s="364" t="s">
        <v>141</v>
      </c>
      <c r="C235" s="362" t="s">
        <v>194</v>
      </c>
      <c r="D235" s="318">
        <v>2000</v>
      </c>
      <c r="E235" s="318">
        <v>2000</v>
      </c>
      <c r="F235" s="318">
        <v>2000</v>
      </c>
      <c r="G235" s="318">
        <v>2000</v>
      </c>
      <c r="H235" s="318">
        <v>2000</v>
      </c>
      <c r="I235" s="318">
        <v>2000</v>
      </c>
      <c r="J235" s="318">
        <v>2000</v>
      </c>
      <c r="K235" s="318">
        <v>2000</v>
      </c>
      <c r="L235" s="318">
        <v>2000</v>
      </c>
      <c r="M235" s="318">
        <v>2000</v>
      </c>
      <c r="N235" s="318">
        <v>2000</v>
      </c>
      <c r="O235" s="318">
        <v>2000</v>
      </c>
      <c r="P235" s="354">
        <f t="shared" si="49"/>
        <v>24000</v>
      </c>
    </row>
    <row r="236" spans="1:256" ht="12.75" hidden="1" customHeight="1">
      <c r="A236" s="342" t="s">
        <v>122</v>
      </c>
      <c r="B236" s="364" t="s">
        <v>142</v>
      </c>
      <c r="C236" s="362" t="s">
        <v>194</v>
      </c>
      <c r="D236" s="318"/>
      <c r="E236" s="318"/>
      <c r="F236" s="318"/>
      <c r="G236" s="318"/>
      <c r="H236" s="318"/>
      <c r="I236" s="317">
        <v>3500</v>
      </c>
      <c r="J236" s="316"/>
      <c r="K236" s="354"/>
      <c r="L236" s="316"/>
      <c r="M236" s="318"/>
      <c r="N236" s="318"/>
      <c r="O236" s="318"/>
      <c r="P236" s="354">
        <f t="shared" si="49"/>
        <v>3500</v>
      </c>
    </row>
    <row r="237" spans="1:256" ht="12.75" hidden="1" customHeight="1">
      <c r="A237" s="342" t="s">
        <v>122</v>
      </c>
      <c r="B237" s="364" t="s">
        <v>145</v>
      </c>
      <c r="C237" s="316"/>
      <c r="D237" s="318"/>
      <c r="E237" s="318"/>
      <c r="F237" s="318"/>
      <c r="G237" s="318"/>
      <c r="H237" s="318"/>
      <c r="I237" s="318"/>
      <c r="J237" s="316"/>
      <c r="K237" s="354"/>
      <c r="L237" s="316"/>
      <c r="M237" s="318"/>
      <c r="N237" s="318"/>
      <c r="O237" s="318"/>
      <c r="P237" s="354">
        <f t="shared" si="49"/>
        <v>0</v>
      </c>
    </row>
    <row r="238" spans="1:256" ht="12.75" hidden="1" customHeight="1">
      <c r="A238" s="342" t="s">
        <v>122</v>
      </c>
      <c r="B238" s="364" t="s">
        <v>195</v>
      </c>
      <c r="C238" s="316"/>
      <c r="D238" s="317">
        <f>400000/150</f>
        <v>2666.6666666666665</v>
      </c>
      <c r="E238" s="317">
        <f>400000/150</f>
        <v>2666.6666666666665</v>
      </c>
      <c r="F238" s="317">
        <f>400000/150</f>
        <v>2666.6666666666665</v>
      </c>
      <c r="G238" s="317">
        <f>300000/130</f>
        <v>2307.6923076923076</v>
      </c>
      <c r="H238" s="317">
        <f>300000/130</f>
        <v>2307.6923076923076</v>
      </c>
      <c r="I238" s="317">
        <f>300000/130</f>
        <v>2307.6923076923076</v>
      </c>
      <c r="J238" s="318"/>
      <c r="K238" s="318"/>
      <c r="L238" s="318"/>
      <c r="M238" s="318"/>
      <c r="N238" s="318"/>
      <c r="O238" s="318"/>
      <c r="P238" s="354">
        <f t="shared" si="49"/>
        <v>14923.076923076926</v>
      </c>
    </row>
    <row r="239" spans="1:256" ht="12.75" hidden="1" customHeight="1">
      <c r="A239" s="342" t="s">
        <v>122</v>
      </c>
      <c r="B239" s="359" t="s">
        <v>169</v>
      </c>
      <c r="C239" s="322"/>
      <c r="D239" s="323">
        <v>4000</v>
      </c>
      <c r="E239" s="324"/>
      <c r="F239" s="324"/>
      <c r="G239" s="324"/>
      <c r="H239" s="324"/>
      <c r="I239" s="324"/>
      <c r="J239" s="324"/>
      <c r="K239" s="324"/>
      <c r="L239" s="324"/>
      <c r="M239" s="324"/>
      <c r="N239" s="324"/>
      <c r="O239" s="324"/>
      <c r="P239" s="354">
        <f t="shared" si="49"/>
        <v>4000</v>
      </c>
    </row>
    <row r="240" spans="1:256" ht="12.75" hidden="1" customHeight="1">
      <c r="A240" s="365" t="s">
        <v>122</v>
      </c>
      <c r="B240" s="359" t="s">
        <v>196</v>
      </c>
      <c r="C240" s="322"/>
      <c r="D240" s="324"/>
      <c r="E240" s="324"/>
      <c r="F240" s="323">
        <v>20000</v>
      </c>
      <c r="G240" s="324"/>
      <c r="H240" s="324"/>
      <c r="I240" s="324"/>
      <c r="J240" s="324"/>
      <c r="K240" s="324"/>
      <c r="L240" s="324"/>
      <c r="M240" s="324"/>
      <c r="N240" s="324"/>
      <c r="O240" s="324"/>
      <c r="P240" s="357">
        <f t="shared" si="49"/>
        <v>20000</v>
      </c>
    </row>
    <row r="241" spans="1:16" ht="12.75" hidden="1" customHeight="1">
      <c r="A241" s="342" t="s">
        <v>122</v>
      </c>
      <c r="B241" s="364" t="s">
        <v>146</v>
      </c>
      <c r="C241" s="316">
        <f>1000*2</f>
        <v>2000</v>
      </c>
      <c r="D241" s="318"/>
      <c r="E241" s="318"/>
      <c r="F241" s="317"/>
      <c r="G241" s="318"/>
      <c r="H241" s="318"/>
      <c r="I241" s="318"/>
      <c r="J241" s="318"/>
      <c r="K241" s="318">
        <v>10000</v>
      </c>
      <c r="L241" s="318"/>
      <c r="M241" s="318"/>
      <c r="N241" s="318"/>
      <c r="O241" s="318"/>
      <c r="P241" s="354"/>
    </row>
    <row r="242" spans="1:16" ht="12.75" hidden="1" customHeight="1">
      <c r="A242" s="355" t="s">
        <v>122</v>
      </c>
      <c r="B242" s="359" t="s">
        <v>173</v>
      </c>
      <c r="C242" s="322"/>
      <c r="D242" s="324"/>
      <c r="E242" s="324"/>
      <c r="F242" s="323"/>
      <c r="G242" s="324"/>
      <c r="H242" s="324"/>
      <c r="I242" s="323">
        <v>5000</v>
      </c>
      <c r="J242" s="324"/>
      <c r="K242" s="323">
        <v>5000</v>
      </c>
      <c r="L242" s="323">
        <v>5000</v>
      </c>
      <c r="M242" s="324"/>
      <c r="N242" s="324"/>
      <c r="O242" s="324"/>
      <c r="P242" s="357">
        <f>SUM(D242:O242)+C242*A13</f>
        <v>15000</v>
      </c>
    </row>
    <row r="243" spans="1:16" ht="12.75" hidden="1" customHeight="1">
      <c r="A243" s="366" t="s">
        <v>122</v>
      </c>
      <c r="B243" s="367" t="s">
        <v>197</v>
      </c>
      <c r="C243" s="367">
        <v>8000000</v>
      </c>
      <c r="D243" s="368"/>
      <c r="E243" s="368"/>
      <c r="F243" s="369"/>
      <c r="G243" s="368"/>
      <c r="H243" s="368"/>
      <c r="I243" s="369"/>
      <c r="J243" s="368"/>
      <c r="K243" s="368"/>
      <c r="L243" s="368"/>
      <c r="M243" s="368"/>
      <c r="N243" s="368"/>
      <c r="O243" s="368"/>
      <c r="P243" s="370">
        <f>J243/A8</f>
        <v>0</v>
      </c>
    </row>
    <row r="244" spans="1:16" ht="12.75" hidden="1" customHeight="1">
      <c r="A244" s="371" t="s">
        <v>122</v>
      </c>
      <c r="B244" s="372" t="s">
        <v>40</v>
      </c>
      <c r="C244" s="331"/>
      <c r="D244" s="334"/>
      <c r="E244" s="334"/>
      <c r="F244" s="333"/>
      <c r="G244" s="334"/>
      <c r="H244" s="334"/>
      <c r="I244" s="333"/>
      <c r="J244" s="334"/>
      <c r="K244" s="333"/>
      <c r="L244" s="333"/>
      <c r="M244" s="334">
        <v>10000</v>
      </c>
      <c r="N244" s="334"/>
      <c r="O244" s="334"/>
      <c r="P244" s="373">
        <f>SUM(D244:O244)+C244*A110</f>
        <v>10000</v>
      </c>
    </row>
    <row r="245" spans="1:16" ht="12.75" hidden="1" customHeight="1">
      <c r="A245" s="824"/>
      <c r="B245" s="374"/>
      <c r="C245" s="339"/>
      <c r="D245" s="347"/>
      <c r="E245" s="347"/>
      <c r="F245" s="347"/>
      <c r="G245" s="347"/>
      <c r="H245" s="347"/>
      <c r="I245" s="347"/>
      <c r="J245" s="347"/>
      <c r="K245" s="347"/>
      <c r="L245" s="347"/>
      <c r="M245" s="347"/>
      <c r="N245" s="347"/>
      <c r="O245" s="347"/>
      <c r="P245" s="340"/>
    </row>
    <row r="246" spans="1:16" ht="12.75" hidden="1" customHeight="1">
      <c r="A246" s="824" t="s">
        <v>122</v>
      </c>
      <c r="B246" s="837" t="s">
        <v>198</v>
      </c>
      <c r="C246" s="375" t="s">
        <v>194</v>
      </c>
      <c r="D246" s="376">
        <f t="shared" ref="D246:L246" si="50">SUM(D230:D243)</f>
        <v>25666.666666666668</v>
      </c>
      <c r="E246" s="376">
        <f t="shared" si="50"/>
        <v>21666.666666666668</v>
      </c>
      <c r="F246" s="376">
        <f t="shared" si="50"/>
        <v>45906.666666666672</v>
      </c>
      <c r="G246" s="376">
        <f t="shared" si="50"/>
        <v>28547.692307692309</v>
      </c>
      <c r="H246" s="376">
        <f t="shared" si="50"/>
        <v>14547.692307692309</v>
      </c>
      <c r="I246" s="376">
        <f t="shared" si="50"/>
        <v>23047.692307692309</v>
      </c>
      <c r="J246" s="376">
        <f t="shared" si="50"/>
        <v>12240</v>
      </c>
      <c r="K246" s="376">
        <f t="shared" si="50"/>
        <v>27240</v>
      </c>
      <c r="L246" s="376">
        <f t="shared" si="50"/>
        <v>17240</v>
      </c>
      <c r="M246" s="376">
        <f>SUM(M230:M244)</f>
        <v>22240</v>
      </c>
      <c r="N246" s="376">
        <f t="shared" ref="N246:P246" si="51">SUM(N230:N244)</f>
        <v>12240</v>
      </c>
      <c r="O246" s="376">
        <f t="shared" si="51"/>
        <v>12240</v>
      </c>
      <c r="P246" s="376">
        <f t="shared" si="51"/>
        <v>252823.07692307694</v>
      </c>
    </row>
    <row r="247" spans="1:16" ht="12.75" hidden="1" customHeight="1">
      <c r="A247" s="902"/>
      <c r="B247" s="902"/>
      <c r="C247" s="902"/>
      <c r="D247" s="902"/>
      <c r="E247" s="902"/>
      <c r="F247" s="902"/>
      <c r="G247" s="902"/>
      <c r="H247" s="902"/>
      <c r="I247" s="902"/>
      <c r="J247" s="902"/>
      <c r="K247" s="902"/>
      <c r="L247" s="902"/>
      <c r="M247" s="902"/>
      <c r="N247" s="902"/>
      <c r="O247" s="902"/>
      <c r="P247" s="902"/>
    </row>
    <row r="248" spans="1:16" ht="12.75" hidden="1" customHeight="1">
      <c r="A248" s="319" t="s">
        <v>122</v>
      </c>
      <c r="B248" s="325" t="s">
        <v>150</v>
      </c>
      <c r="C248" s="344"/>
      <c r="D248" s="317">
        <v>1163.81</v>
      </c>
      <c r="E248" s="317">
        <v>213.39</v>
      </c>
      <c r="F248" s="377" t="s">
        <v>136</v>
      </c>
      <c r="G248" s="377" t="s">
        <v>136</v>
      </c>
      <c r="H248" s="377" t="s">
        <v>136</v>
      </c>
      <c r="I248" s="377" t="s">
        <v>136</v>
      </c>
      <c r="J248" s="377" t="s">
        <v>136</v>
      </c>
      <c r="K248" s="377" t="s">
        <v>136</v>
      </c>
      <c r="L248" s="378">
        <v>1394.59</v>
      </c>
      <c r="M248" s="379"/>
      <c r="N248" s="380">
        <v>1414.87</v>
      </c>
      <c r="O248" s="379"/>
      <c r="P248" s="318">
        <f>SUM(D248:O248)</f>
        <v>4186.66</v>
      </c>
    </row>
    <row r="249" spans="1:16" ht="12.75" hidden="1" customHeight="1">
      <c r="A249" s="319" t="s">
        <v>122</v>
      </c>
      <c r="B249" s="364" t="s">
        <v>151</v>
      </c>
      <c r="C249" s="344"/>
      <c r="D249" s="317">
        <v>9130.82</v>
      </c>
      <c r="E249" s="317">
        <v>3543.96</v>
      </c>
      <c r="F249" s="317">
        <v>6385.39</v>
      </c>
      <c r="G249" s="317">
        <v>7000</v>
      </c>
      <c r="H249" s="317">
        <f>10152.03+3509.89</f>
        <v>13661.92</v>
      </c>
      <c r="I249" s="317">
        <v>10000</v>
      </c>
      <c r="J249" s="378">
        <v>30000</v>
      </c>
      <c r="K249" s="353">
        <v>10000</v>
      </c>
      <c r="L249" s="378">
        <v>10000</v>
      </c>
      <c r="M249" s="380">
        <v>20000</v>
      </c>
      <c r="N249" s="380">
        <v>15000</v>
      </c>
      <c r="O249" s="379"/>
      <c r="P249" s="318">
        <f>SUM(D249:O249)</f>
        <v>134722.09</v>
      </c>
    </row>
    <row r="250" spans="1:16" ht="12.75" hidden="1" customHeight="1">
      <c r="A250" s="837"/>
      <c r="B250" s="374"/>
      <c r="C250" s="339"/>
      <c r="D250" s="381"/>
      <c r="E250" s="347"/>
      <c r="F250" s="340"/>
      <c r="G250" s="340"/>
      <c r="H250" s="340"/>
      <c r="I250" s="382"/>
      <c r="J250" s="383"/>
      <c r="K250" s="384"/>
      <c r="L250" s="383"/>
      <c r="M250" s="382"/>
      <c r="N250" s="382"/>
      <c r="O250" s="340"/>
      <c r="P250" s="340"/>
    </row>
    <row r="251" spans="1:16" ht="12.75" hidden="1" customHeight="1">
      <c r="A251" s="837"/>
      <c r="B251" s="837" t="s">
        <v>199</v>
      </c>
      <c r="C251" s="339"/>
      <c r="D251" s="347">
        <f>SUM(D248:D250)</f>
        <v>10294.629999999999</v>
      </c>
      <c r="E251" s="347">
        <f t="shared" ref="E251:P251" si="52">SUM(E248:E250)</f>
        <v>3757.35</v>
      </c>
      <c r="F251" s="347">
        <f t="shared" si="52"/>
        <v>6385.39</v>
      </c>
      <c r="G251" s="347">
        <f t="shared" si="52"/>
        <v>7000</v>
      </c>
      <c r="H251" s="347">
        <f t="shared" si="52"/>
        <v>13661.92</v>
      </c>
      <c r="I251" s="347">
        <f t="shared" si="52"/>
        <v>10000</v>
      </c>
      <c r="J251" s="347">
        <f t="shared" si="52"/>
        <v>30000</v>
      </c>
      <c r="K251" s="347">
        <f t="shared" si="52"/>
        <v>10000</v>
      </c>
      <c r="L251" s="347">
        <f t="shared" si="52"/>
        <v>11394.59</v>
      </c>
      <c r="M251" s="347">
        <f t="shared" si="52"/>
        <v>20000</v>
      </c>
      <c r="N251" s="347">
        <f t="shared" si="52"/>
        <v>16414.87</v>
      </c>
      <c r="O251" s="347">
        <f t="shared" si="52"/>
        <v>0</v>
      </c>
      <c r="P251" s="347">
        <f t="shared" si="52"/>
        <v>138908.75</v>
      </c>
    </row>
    <row r="252" spans="1:16" ht="12.75" hidden="1" customHeight="1">
      <c r="A252" s="892"/>
      <c r="B252" s="892"/>
      <c r="C252" s="892"/>
      <c r="D252" s="892"/>
      <c r="E252" s="892"/>
      <c r="F252" s="892"/>
      <c r="G252" s="892"/>
      <c r="H252" s="892"/>
      <c r="I252" s="892"/>
      <c r="J252" s="892"/>
      <c r="K252" s="892"/>
      <c r="L252" s="892"/>
      <c r="M252" s="892"/>
      <c r="N252" s="892"/>
      <c r="O252" s="892"/>
      <c r="P252" s="892"/>
    </row>
    <row r="253" spans="1:16" ht="12.75" hidden="1" customHeight="1">
      <c r="A253" s="319" t="s">
        <v>122</v>
      </c>
      <c r="B253" s="325" t="s">
        <v>153</v>
      </c>
      <c r="C253" s="344"/>
      <c r="D253" s="317">
        <v>615.38</v>
      </c>
      <c r="E253" s="318"/>
      <c r="F253" s="317">
        <v>720.03</v>
      </c>
      <c r="G253" s="318"/>
      <c r="H253" s="317">
        <v>423.85</v>
      </c>
      <c r="I253" s="317">
        <v>464.7</v>
      </c>
      <c r="J253" s="317">
        <v>464.7</v>
      </c>
      <c r="K253" s="380">
        <v>461.4</v>
      </c>
      <c r="L253" s="380">
        <v>461.4</v>
      </c>
      <c r="M253" s="380">
        <v>461.4</v>
      </c>
      <c r="N253" s="380">
        <v>461.4</v>
      </c>
      <c r="O253" s="380">
        <v>461.4</v>
      </c>
      <c r="P253" s="354">
        <f>SUM(C253:O253)</f>
        <v>4995.6599999999989</v>
      </c>
    </row>
    <row r="254" spans="1:16" ht="12.75" hidden="1" customHeight="1">
      <c r="A254" s="319" t="s">
        <v>122</v>
      </c>
      <c r="B254" s="385" t="s">
        <v>154</v>
      </c>
      <c r="C254" s="344"/>
      <c r="D254" s="317">
        <v>85.33</v>
      </c>
      <c r="E254" s="363"/>
      <c r="F254" s="363"/>
      <c r="G254" s="317">
        <v>118.68</v>
      </c>
      <c r="H254" s="317">
        <v>118.68</v>
      </c>
      <c r="I254" s="317">
        <v>142.22</v>
      </c>
      <c r="J254" s="317">
        <v>142.22</v>
      </c>
      <c r="K254" s="379"/>
      <c r="L254" s="379"/>
      <c r="M254" s="379"/>
      <c r="N254" s="379"/>
      <c r="O254" s="379"/>
      <c r="P254" s="318">
        <f>SUM(D254:O254)</f>
        <v>607.13</v>
      </c>
    </row>
    <row r="255" spans="1:16" ht="12.75" hidden="1" customHeight="1">
      <c r="A255" s="319" t="s">
        <v>122</v>
      </c>
      <c r="B255" s="325" t="s">
        <v>200</v>
      </c>
      <c r="C255" s="344"/>
      <c r="D255" s="317">
        <v>924.06</v>
      </c>
      <c r="E255" s="317">
        <v>1030.74</v>
      </c>
      <c r="F255" s="318"/>
      <c r="G255" s="317">
        <v>1032.49</v>
      </c>
      <c r="H255" s="317">
        <v>1051.56</v>
      </c>
      <c r="I255" s="386">
        <v>1128.8900000000001</v>
      </c>
      <c r="J255" s="317">
        <v>1222.29</v>
      </c>
      <c r="K255" s="380">
        <v>1220.0899999999999</v>
      </c>
      <c r="L255" s="377" t="s">
        <v>136</v>
      </c>
      <c r="M255" s="377" t="s">
        <v>136</v>
      </c>
      <c r="N255" s="377" t="s">
        <v>136</v>
      </c>
      <c r="O255" s="377"/>
      <c r="P255" s="318">
        <f>SUM(D255:O255)</f>
        <v>7610.12</v>
      </c>
    </row>
    <row r="256" spans="1:16" ht="12.75" hidden="1" customHeight="1">
      <c r="A256" s="319" t="s">
        <v>122</v>
      </c>
      <c r="B256" s="364" t="s">
        <v>201</v>
      </c>
      <c r="C256" s="344"/>
      <c r="D256" s="386">
        <v>318.20999999999998</v>
      </c>
      <c r="E256" s="317">
        <v>410</v>
      </c>
      <c r="F256" s="377" t="s">
        <v>136</v>
      </c>
      <c r="G256" s="377" t="s">
        <v>136</v>
      </c>
      <c r="H256" s="377" t="s">
        <v>136</v>
      </c>
      <c r="I256" s="377" t="s">
        <v>136</v>
      </c>
      <c r="J256" s="377" t="s">
        <v>136</v>
      </c>
      <c r="K256" s="377" t="s">
        <v>136</v>
      </c>
      <c r="L256" s="377" t="s">
        <v>136</v>
      </c>
      <c r="M256" s="377" t="s">
        <v>136</v>
      </c>
      <c r="N256" s="377" t="s">
        <v>136</v>
      </c>
      <c r="O256" s="377" t="s">
        <v>136</v>
      </c>
      <c r="P256" s="318">
        <f>SUM(D256:O256)</f>
        <v>728.21</v>
      </c>
    </row>
    <row r="257" spans="1:256" ht="12.75" hidden="1" customHeight="1">
      <c r="A257" s="319" t="s">
        <v>122</v>
      </c>
      <c r="B257" s="364" t="s">
        <v>155</v>
      </c>
      <c r="C257" s="344"/>
      <c r="D257" s="386">
        <v>318.20999999999998</v>
      </c>
      <c r="E257" s="317">
        <v>332.2</v>
      </c>
      <c r="F257" s="317">
        <v>472.53</v>
      </c>
      <c r="G257" s="317">
        <v>570.52</v>
      </c>
      <c r="H257" s="317">
        <v>368.41</v>
      </c>
      <c r="I257" s="317">
        <v>381.48</v>
      </c>
      <c r="J257" s="345">
        <v>674.08</v>
      </c>
      <c r="K257" s="380">
        <v>677.71</v>
      </c>
      <c r="L257" s="378">
        <v>595.29999999999995</v>
      </c>
      <c r="M257" s="380">
        <v>618.28</v>
      </c>
      <c r="N257" s="380">
        <v>443.03</v>
      </c>
      <c r="O257" s="379"/>
      <c r="P257" s="318">
        <f>SUM(D257:O257)</f>
        <v>5451.7499999999991</v>
      </c>
    </row>
    <row r="258" spans="1:256" ht="12.75" hidden="1" customHeight="1">
      <c r="A258" s="319" t="s">
        <v>122</v>
      </c>
      <c r="B258" s="325" t="s">
        <v>179</v>
      </c>
      <c r="C258" s="344"/>
      <c r="D258" s="317">
        <f>6689.3+2020</f>
        <v>8709.2999999999993</v>
      </c>
      <c r="E258" s="317">
        <f>2020+13410.24</f>
        <v>15430.24</v>
      </c>
      <c r="F258" s="317">
        <v>2020</v>
      </c>
      <c r="G258" s="317">
        <v>2020</v>
      </c>
      <c r="H258" s="317">
        <f>811.2+2020</f>
        <v>2831.2</v>
      </c>
      <c r="I258" s="317">
        <v>1396.59</v>
      </c>
      <c r="J258" s="317">
        <v>1396.59</v>
      </c>
      <c r="K258" s="352">
        <v>7633.91</v>
      </c>
      <c r="L258" s="377" t="s">
        <v>136</v>
      </c>
      <c r="M258" s="377" t="s">
        <v>136</v>
      </c>
      <c r="N258" s="377" t="s">
        <v>136</v>
      </c>
      <c r="O258" s="377" t="s">
        <v>136</v>
      </c>
      <c r="P258" s="318">
        <f>SUM(D258:O258)</f>
        <v>41437.83</v>
      </c>
    </row>
    <row r="259" spans="1:256" ht="12.75" hidden="1" customHeight="1">
      <c r="A259" s="319" t="s">
        <v>122</v>
      </c>
      <c r="B259" s="364" t="s">
        <v>181</v>
      </c>
      <c r="C259" s="344"/>
      <c r="D259" s="377" t="s">
        <v>136</v>
      </c>
      <c r="E259" s="386">
        <v>1017.5</v>
      </c>
      <c r="F259" s="377" t="s">
        <v>136</v>
      </c>
      <c r="G259" s="377" t="s">
        <v>136</v>
      </c>
      <c r="H259" s="377" t="s">
        <v>136</v>
      </c>
      <c r="I259" s="377" t="s">
        <v>136</v>
      </c>
      <c r="J259" s="377" t="s">
        <v>136</v>
      </c>
      <c r="K259" s="377" t="s">
        <v>136</v>
      </c>
      <c r="L259" s="377" t="s">
        <v>136</v>
      </c>
      <c r="M259" s="377" t="s">
        <v>136</v>
      </c>
      <c r="N259" s="377" t="s">
        <v>136</v>
      </c>
      <c r="O259" s="377" t="s">
        <v>136</v>
      </c>
      <c r="P259" s="318">
        <f>SUM(E259:O259)</f>
        <v>1017.5</v>
      </c>
    </row>
    <row r="260" spans="1:256" ht="12.75" hidden="1" customHeight="1">
      <c r="A260" s="319" t="s">
        <v>122</v>
      </c>
      <c r="B260" s="364" t="s">
        <v>182</v>
      </c>
      <c r="C260" s="344"/>
      <c r="D260" s="377" t="s">
        <v>136</v>
      </c>
      <c r="E260" s="317">
        <v>5586.72</v>
      </c>
      <c r="F260" s="318"/>
      <c r="G260" s="318"/>
      <c r="H260" s="318"/>
      <c r="I260" s="318"/>
      <c r="J260" s="316"/>
      <c r="K260" s="377" t="s">
        <v>136</v>
      </c>
      <c r="L260" s="377" t="s">
        <v>136</v>
      </c>
      <c r="M260" s="377" t="s">
        <v>136</v>
      </c>
      <c r="N260" s="377" t="s">
        <v>136</v>
      </c>
      <c r="O260" s="377" t="s">
        <v>136</v>
      </c>
      <c r="P260" s="318">
        <f>SUM(D260:O260)</f>
        <v>5586.72</v>
      </c>
    </row>
    <row r="261" spans="1:256" ht="12.75" hidden="1" customHeight="1">
      <c r="A261" s="319" t="s">
        <v>122</v>
      </c>
      <c r="B261" s="325" t="s">
        <v>160</v>
      </c>
      <c r="C261" s="344"/>
      <c r="D261" s="377" t="s">
        <v>136</v>
      </c>
      <c r="E261" s="377" t="s">
        <v>136</v>
      </c>
      <c r="F261" s="377" t="s">
        <v>136</v>
      </c>
      <c r="G261" s="377" t="s">
        <v>136</v>
      </c>
      <c r="H261" s="377" t="s">
        <v>136</v>
      </c>
      <c r="I261" s="377" t="s">
        <v>136</v>
      </c>
      <c r="J261" s="377" t="s">
        <v>136</v>
      </c>
      <c r="K261" s="377" t="s">
        <v>136</v>
      </c>
      <c r="L261" s="377" t="s">
        <v>136</v>
      </c>
      <c r="M261" s="380">
        <v>589.67999999999995</v>
      </c>
      <c r="N261" s="380">
        <v>499</v>
      </c>
      <c r="O261" s="380">
        <v>499</v>
      </c>
      <c r="P261" s="318">
        <f>SUM(D261:O261)</f>
        <v>1587.6799999999998</v>
      </c>
    </row>
    <row r="262" spans="1:256" ht="12.75" hidden="1" customHeight="1">
      <c r="A262" s="837"/>
      <c r="B262" s="374"/>
      <c r="C262" s="339"/>
      <c r="D262" s="387"/>
      <c r="E262" s="347"/>
      <c r="F262" s="347"/>
      <c r="G262" s="347"/>
      <c r="H262" s="347"/>
      <c r="I262" s="347"/>
      <c r="J262" s="376"/>
      <c r="K262" s="340"/>
      <c r="L262" s="339"/>
      <c r="M262" s="340"/>
      <c r="N262" s="340"/>
      <c r="O262" s="340"/>
      <c r="P262" s="340"/>
    </row>
    <row r="263" spans="1:256" ht="12.75" hidden="1" customHeight="1">
      <c r="A263" s="837"/>
      <c r="B263" s="837" t="s">
        <v>161</v>
      </c>
      <c r="C263" s="375" t="s">
        <v>194</v>
      </c>
      <c r="D263" s="376">
        <f t="shared" ref="D263:P263" si="53">SUM(D253:D260)</f>
        <v>10970.49</v>
      </c>
      <c r="E263" s="376">
        <f t="shared" si="53"/>
        <v>23807.4</v>
      </c>
      <c r="F263" s="376">
        <f t="shared" si="53"/>
        <v>3212.56</v>
      </c>
      <c r="G263" s="376">
        <f t="shared" si="53"/>
        <v>3741.69</v>
      </c>
      <c r="H263" s="376">
        <f t="shared" si="53"/>
        <v>4793.7</v>
      </c>
      <c r="I263" s="376">
        <f t="shared" si="53"/>
        <v>3513.88</v>
      </c>
      <c r="J263" s="376">
        <f t="shared" si="53"/>
        <v>3899.88</v>
      </c>
      <c r="K263" s="339">
        <f t="shared" si="53"/>
        <v>9993.11</v>
      </c>
      <c r="L263" s="339">
        <f t="shared" si="53"/>
        <v>1056.6999999999998</v>
      </c>
      <c r="M263" s="339">
        <f t="shared" si="53"/>
        <v>1079.6799999999998</v>
      </c>
      <c r="N263" s="339">
        <f t="shared" si="53"/>
        <v>904.43</v>
      </c>
      <c r="O263" s="339">
        <f t="shared" si="53"/>
        <v>461.4</v>
      </c>
      <c r="P263" s="339">
        <f t="shared" si="53"/>
        <v>67434.92</v>
      </c>
    </row>
    <row r="264" spans="1:256" ht="12.75" hidden="1" customHeight="1">
      <c r="A264" s="892"/>
      <c r="B264" s="892"/>
      <c r="C264" s="892"/>
      <c r="D264" s="892"/>
      <c r="E264" s="892"/>
      <c r="F264" s="892"/>
      <c r="G264" s="892"/>
      <c r="H264" s="892"/>
      <c r="I264" s="892"/>
      <c r="J264" s="892"/>
      <c r="K264" s="892"/>
      <c r="L264" s="892"/>
      <c r="M264" s="892"/>
      <c r="N264" s="892"/>
      <c r="O264" s="892"/>
      <c r="P264" s="892"/>
    </row>
    <row r="265" spans="1:256" ht="12.75" hidden="1" customHeight="1">
      <c r="A265" s="342" t="s">
        <v>122</v>
      </c>
      <c r="B265" s="364" t="s">
        <v>202</v>
      </c>
      <c r="C265" s="344"/>
      <c r="D265" s="317">
        <v>40000</v>
      </c>
      <c r="E265" s="317">
        <f>20000*2</f>
        <v>40000</v>
      </c>
      <c r="F265" s="317">
        <f>2*2000+29000</f>
        <v>33000</v>
      </c>
      <c r="G265" s="317">
        <f>20000*2</f>
        <v>40000</v>
      </c>
      <c r="H265" s="317">
        <v>40000</v>
      </c>
      <c r="I265" s="317">
        <v>80000</v>
      </c>
      <c r="J265" s="345">
        <f>20000+20000*2</f>
        <v>60000</v>
      </c>
      <c r="K265" s="353">
        <f>20000*2</f>
        <v>40000</v>
      </c>
      <c r="L265" s="345">
        <f>20000*2</f>
        <v>40000</v>
      </c>
      <c r="M265" s="317">
        <f>2*20000</f>
        <v>40000</v>
      </c>
      <c r="N265" s="317">
        <f>40000*2</f>
        <v>80000</v>
      </c>
      <c r="O265" s="363"/>
      <c r="P265" s="318">
        <f>SUM(C265:O265)</f>
        <v>533000</v>
      </c>
    </row>
    <row r="266" spans="1:256" s="64" customFormat="1" ht="12.75" hidden="1" customHeight="1">
      <c r="A266" s="837"/>
      <c r="B266" s="338"/>
      <c r="C266" s="339"/>
      <c r="D266" s="376"/>
      <c r="E266" s="376"/>
      <c r="F266" s="376"/>
      <c r="G266" s="376"/>
      <c r="H266" s="376"/>
      <c r="I266" s="376"/>
      <c r="J266" s="376"/>
      <c r="K266" s="376"/>
      <c r="L266" s="376"/>
      <c r="M266" s="388"/>
      <c r="N266" s="376"/>
      <c r="O266" s="376"/>
      <c r="P266" s="376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  <c r="ES266" s="18"/>
      <c r="ET266" s="18"/>
      <c r="EU266" s="18"/>
      <c r="EV266" s="18"/>
      <c r="EW266" s="18"/>
      <c r="EX266" s="18"/>
      <c r="EY266" s="18"/>
      <c r="EZ266" s="18"/>
      <c r="FA266" s="18"/>
      <c r="FB266" s="18"/>
      <c r="FC266" s="18"/>
      <c r="FD266" s="18"/>
      <c r="FE266" s="18"/>
      <c r="FF266" s="18"/>
      <c r="FG266" s="18"/>
      <c r="FH266" s="18"/>
      <c r="FI266" s="18"/>
      <c r="FJ266" s="18"/>
      <c r="FK266" s="18"/>
      <c r="FL266" s="18"/>
      <c r="FM266" s="18"/>
      <c r="FN266" s="18"/>
      <c r="FO266" s="18"/>
      <c r="FP266" s="18"/>
      <c r="FQ266" s="18"/>
      <c r="FR266" s="18"/>
      <c r="FS266" s="18"/>
      <c r="FT266" s="18"/>
      <c r="FU266" s="18"/>
      <c r="FV266" s="18"/>
      <c r="FW266" s="18"/>
      <c r="FX266" s="18"/>
      <c r="FY266" s="18"/>
      <c r="FZ266" s="18"/>
      <c r="GA266" s="18"/>
      <c r="GB266" s="18"/>
      <c r="GC266" s="18"/>
      <c r="GD266" s="18"/>
      <c r="GE266" s="18"/>
      <c r="GF266" s="18"/>
      <c r="GG266" s="18"/>
      <c r="GH266" s="18"/>
      <c r="GI266" s="18"/>
      <c r="GJ266" s="18"/>
      <c r="GK266" s="18"/>
      <c r="GL266" s="18"/>
      <c r="GM266" s="18"/>
      <c r="GN266" s="18"/>
      <c r="GO266" s="18"/>
      <c r="GP266" s="18"/>
      <c r="GQ266" s="18"/>
      <c r="GR266" s="18"/>
      <c r="GS266" s="18"/>
      <c r="GT266" s="18"/>
      <c r="GU266" s="18"/>
      <c r="GV266" s="18"/>
      <c r="GW266" s="18"/>
      <c r="GX266" s="18"/>
      <c r="GY266" s="18"/>
      <c r="GZ266" s="18"/>
      <c r="HA266" s="18"/>
      <c r="HB266" s="18"/>
      <c r="HC266" s="18"/>
      <c r="HD266" s="18"/>
      <c r="HE266" s="18"/>
      <c r="HF266" s="18"/>
      <c r="HG266" s="18"/>
      <c r="HH266" s="18"/>
      <c r="HI266" s="18"/>
      <c r="HJ266" s="18"/>
      <c r="HK266" s="18"/>
      <c r="HL266" s="18"/>
      <c r="HM266" s="18"/>
      <c r="HN266" s="18"/>
      <c r="HO266" s="18"/>
      <c r="HP266" s="18"/>
      <c r="HQ266" s="18"/>
      <c r="HR266" s="18"/>
      <c r="HS266" s="18"/>
      <c r="HT266" s="18"/>
      <c r="HU266" s="18"/>
      <c r="HV266" s="18"/>
      <c r="HW266" s="18"/>
      <c r="HX266" s="18"/>
      <c r="HY266" s="18"/>
      <c r="HZ266" s="18"/>
      <c r="IA266" s="18"/>
      <c r="IB266" s="18"/>
      <c r="IC266" s="18"/>
      <c r="ID266" s="18"/>
      <c r="IE266" s="18"/>
      <c r="IF266" s="18"/>
      <c r="IG266" s="18"/>
      <c r="IH266" s="18"/>
      <c r="II266" s="18"/>
      <c r="IJ266" s="18"/>
      <c r="IK266" s="18"/>
      <c r="IL266" s="18"/>
      <c r="IM266" s="18"/>
      <c r="IN266" s="18"/>
      <c r="IO266" s="18"/>
      <c r="IP266" s="18"/>
      <c r="IQ266" s="18"/>
      <c r="IR266" s="18"/>
      <c r="IS266" s="18"/>
      <c r="IT266" s="18"/>
      <c r="IU266" s="18"/>
      <c r="IV266" s="18"/>
    </row>
    <row r="267" spans="1:256" s="64" customFormat="1" ht="12.75" customHeight="1">
      <c r="A267" s="302" t="s">
        <v>105</v>
      </c>
      <c r="B267" s="302" t="s">
        <v>184</v>
      </c>
      <c r="C267" s="658"/>
      <c r="D267" s="331">
        <f t="shared" ref="D267:O267" si="54">D210+D215+D223</f>
        <v>102291.59</v>
      </c>
      <c r="E267" s="331">
        <f t="shared" si="54"/>
        <v>99198.489999999991</v>
      </c>
      <c r="F267" s="659">
        <f t="shared" si="54"/>
        <v>95468.42</v>
      </c>
      <c r="G267" s="331">
        <f t="shared" si="54"/>
        <v>110500.48</v>
      </c>
      <c r="H267" s="331">
        <f t="shared" si="54"/>
        <v>107295.67999999999</v>
      </c>
      <c r="I267" s="331">
        <f t="shared" si="54"/>
        <v>146140.375</v>
      </c>
      <c r="J267" s="331">
        <f t="shared" si="54"/>
        <v>121310.97</v>
      </c>
      <c r="K267" s="331">
        <f t="shared" si="54"/>
        <v>111086.87</v>
      </c>
      <c r="L267" s="331">
        <f t="shared" si="54"/>
        <v>147393.33000000002</v>
      </c>
      <c r="M267" s="331">
        <f t="shared" si="54"/>
        <v>153363.71</v>
      </c>
      <c r="N267" s="331">
        <f t="shared" si="54"/>
        <v>149193.59</v>
      </c>
      <c r="O267" s="331">
        <f t="shared" si="54"/>
        <v>200196.90000000002</v>
      </c>
      <c r="P267" s="331">
        <f>SUM(C267:O267)</f>
        <v>1543440.4049999998</v>
      </c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  <c r="EW267" s="18"/>
      <c r="EX267" s="18"/>
      <c r="EY267" s="18"/>
      <c r="EZ267" s="18"/>
      <c r="FA267" s="18"/>
      <c r="FB267" s="18"/>
      <c r="FC267" s="18"/>
      <c r="FD267" s="18"/>
      <c r="FE267" s="18"/>
      <c r="FF267" s="18"/>
      <c r="FG267" s="18"/>
      <c r="FH267" s="18"/>
      <c r="FI267" s="18"/>
      <c r="FJ267" s="18"/>
      <c r="FK267" s="18"/>
      <c r="FL267" s="18"/>
      <c r="FM267" s="18"/>
      <c r="FN267" s="18"/>
      <c r="FO267" s="18"/>
      <c r="FP267" s="18"/>
      <c r="FQ267" s="18"/>
      <c r="FR267" s="18"/>
      <c r="FS267" s="18"/>
      <c r="FT267" s="18"/>
      <c r="FU267" s="18"/>
      <c r="FV267" s="18"/>
      <c r="FW267" s="18"/>
      <c r="FX267" s="18"/>
      <c r="FY267" s="18"/>
      <c r="FZ267" s="18"/>
      <c r="GA267" s="18"/>
      <c r="GB267" s="18"/>
      <c r="GC267" s="18"/>
      <c r="GD267" s="18"/>
      <c r="GE267" s="18"/>
      <c r="GF267" s="18"/>
      <c r="GG267" s="18"/>
      <c r="GH267" s="18"/>
      <c r="GI267" s="18"/>
      <c r="GJ267" s="18"/>
      <c r="GK267" s="18"/>
      <c r="GL267" s="18"/>
      <c r="GM267" s="18"/>
      <c r="GN267" s="18"/>
      <c r="GO267" s="18"/>
      <c r="GP267" s="18"/>
      <c r="GQ267" s="18"/>
      <c r="GR267" s="18"/>
      <c r="GS267" s="18"/>
      <c r="GT267" s="18"/>
      <c r="GU267" s="18"/>
      <c r="GV267" s="18"/>
      <c r="GW267" s="18"/>
      <c r="GX267" s="18"/>
      <c r="GY267" s="18"/>
      <c r="GZ267" s="18"/>
      <c r="HA267" s="18"/>
      <c r="HB267" s="18"/>
      <c r="HC267" s="18"/>
      <c r="HD267" s="18"/>
      <c r="HE267" s="18"/>
      <c r="HF267" s="18"/>
      <c r="HG267" s="18"/>
      <c r="HH267" s="18"/>
      <c r="HI267" s="18"/>
      <c r="HJ267" s="18"/>
      <c r="HK267" s="18"/>
      <c r="HL267" s="18"/>
      <c r="HM267" s="18"/>
      <c r="HN267" s="18"/>
      <c r="HO267" s="18"/>
      <c r="HP267" s="18"/>
      <c r="HQ267" s="18"/>
      <c r="HR267" s="18"/>
      <c r="HS267" s="18"/>
      <c r="HT267" s="18"/>
      <c r="HU267" s="18"/>
      <c r="HV267" s="18"/>
      <c r="HW267" s="18"/>
      <c r="HX267" s="18"/>
      <c r="HY267" s="18"/>
      <c r="HZ267" s="18"/>
      <c r="IA267" s="18"/>
      <c r="IB267" s="18"/>
      <c r="IC267" s="18"/>
      <c r="ID267" s="18"/>
      <c r="IE267" s="18"/>
      <c r="IF267" s="18"/>
      <c r="IG267" s="18"/>
      <c r="IH267" s="18"/>
      <c r="II267" s="18"/>
      <c r="IJ267" s="18"/>
      <c r="IK267" s="18"/>
      <c r="IL267" s="18"/>
      <c r="IM267" s="18"/>
      <c r="IN267" s="18"/>
      <c r="IO267" s="18"/>
      <c r="IP267" s="18"/>
      <c r="IQ267" s="18"/>
      <c r="IR267" s="18"/>
      <c r="IS267" s="18"/>
      <c r="IT267" s="18"/>
      <c r="IU267" s="18"/>
      <c r="IV267" s="18"/>
    </row>
    <row r="268" spans="1:256" s="64" customFormat="1" ht="12.75" customHeight="1">
      <c r="A268" s="302" t="s">
        <v>122</v>
      </c>
      <c r="B268" s="302" t="s">
        <v>185</v>
      </c>
      <c r="C268" s="660" t="s">
        <v>194</v>
      </c>
      <c r="D268" s="331">
        <f>D246+D263</f>
        <v>36637.156666666669</v>
      </c>
      <c r="E268" s="331">
        <f t="shared" ref="D268:O268" si="55">E246+E263</f>
        <v>45474.066666666666</v>
      </c>
      <c r="F268" s="331">
        <f t="shared" si="55"/>
        <v>49119.226666666669</v>
      </c>
      <c r="G268" s="331">
        <f t="shared" si="55"/>
        <v>32289.382307692307</v>
      </c>
      <c r="H268" s="331">
        <f t="shared" si="55"/>
        <v>19341.392307692309</v>
      </c>
      <c r="I268" s="331">
        <f t="shared" si="55"/>
        <v>26561.57230769231</v>
      </c>
      <c r="J268" s="331">
        <f t="shared" si="55"/>
        <v>16139.880000000001</v>
      </c>
      <c r="K268" s="331">
        <f t="shared" si="55"/>
        <v>37233.11</v>
      </c>
      <c r="L268" s="331">
        <f t="shared" si="55"/>
        <v>18296.7</v>
      </c>
      <c r="M268" s="331">
        <f t="shared" si="55"/>
        <v>23319.68</v>
      </c>
      <c r="N268" s="331">
        <f t="shared" si="55"/>
        <v>13144.43</v>
      </c>
      <c r="O268" s="331">
        <f t="shared" si="55"/>
        <v>12701.4</v>
      </c>
      <c r="P268" s="331">
        <f>SUM(C268:O268)</f>
        <v>330257.99692307698</v>
      </c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  <c r="ES268" s="18"/>
      <c r="ET268" s="18"/>
      <c r="EU268" s="18"/>
      <c r="EV268" s="18"/>
      <c r="EW268" s="18"/>
      <c r="EX268" s="18"/>
      <c r="EY268" s="18"/>
      <c r="EZ268" s="18"/>
      <c r="FA268" s="18"/>
      <c r="FB268" s="18"/>
      <c r="FC268" s="18"/>
      <c r="FD268" s="18"/>
      <c r="FE268" s="18"/>
      <c r="FF268" s="18"/>
      <c r="FG268" s="18"/>
      <c r="FH268" s="18"/>
      <c r="FI268" s="18"/>
      <c r="FJ268" s="18"/>
      <c r="FK268" s="18"/>
      <c r="FL268" s="18"/>
      <c r="FM268" s="18"/>
      <c r="FN268" s="18"/>
      <c r="FO268" s="18"/>
      <c r="FP268" s="18"/>
      <c r="FQ268" s="18"/>
      <c r="FR268" s="18"/>
      <c r="FS268" s="18"/>
      <c r="FT268" s="18"/>
      <c r="FU268" s="18"/>
      <c r="FV268" s="18"/>
      <c r="FW268" s="18"/>
      <c r="FX268" s="18"/>
      <c r="FY268" s="18"/>
      <c r="FZ268" s="18"/>
      <c r="GA268" s="18"/>
      <c r="GB268" s="18"/>
      <c r="GC268" s="18"/>
      <c r="GD268" s="18"/>
      <c r="GE268" s="18"/>
      <c r="GF268" s="18"/>
      <c r="GG268" s="18"/>
      <c r="GH268" s="18"/>
      <c r="GI268" s="18"/>
      <c r="GJ268" s="18"/>
      <c r="GK268" s="18"/>
      <c r="GL268" s="18"/>
      <c r="GM268" s="18"/>
      <c r="GN268" s="18"/>
      <c r="GO268" s="18"/>
      <c r="GP268" s="18"/>
      <c r="GQ268" s="18"/>
      <c r="GR268" s="18"/>
      <c r="GS268" s="18"/>
      <c r="GT268" s="18"/>
      <c r="GU268" s="18"/>
      <c r="GV268" s="18"/>
      <c r="GW268" s="18"/>
      <c r="GX268" s="18"/>
      <c r="GY268" s="18"/>
      <c r="GZ268" s="18"/>
      <c r="HA268" s="18"/>
      <c r="HB268" s="18"/>
      <c r="HC268" s="18"/>
      <c r="HD268" s="18"/>
      <c r="HE268" s="18"/>
      <c r="HF268" s="18"/>
      <c r="HG268" s="18"/>
      <c r="HH268" s="18"/>
      <c r="HI268" s="18"/>
      <c r="HJ268" s="18"/>
      <c r="HK268" s="18"/>
      <c r="HL268" s="18"/>
      <c r="HM268" s="18"/>
      <c r="HN268" s="18"/>
      <c r="HO268" s="18"/>
      <c r="HP268" s="18"/>
      <c r="HQ268" s="18"/>
      <c r="HR268" s="18"/>
      <c r="HS268" s="18"/>
      <c r="HT268" s="18"/>
      <c r="HU268" s="18"/>
      <c r="HV268" s="18"/>
      <c r="HW268" s="18"/>
      <c r="HX268" s="18"/>
      <c r="HY268" s="18"/>
      <c r="HZ268" s="18"/>
      <c r="IA268" s="18"/>
      <c r="IB268" s="18"/>
      <c r="IC268" s="18"/>
      <c r="ID268" s="18"/>
      <c r="IE268" s="18"/>
      <c r="IF268" s="18"/>
      <c r="IG268" s="18"/>
      <c r="IH268" s="18"/>
      <c r="II268" s="18"/>
      <c r="IJ268" s="18"/>
      <c r="IK268" s="18"/>
      <c r="IL268" s="18"/>
      <c r="IM268" s="18"/>
      <c r="IN268" s="18"/>
      <c r="IO268" s="18"/>
      <c r="IP268" s="18"/>
      <c r="IQ268" s="18"/>
      <c r="IR268" s="18"/>
      <c r="IS268" s="18"/>
      <c r="IT268" s="18"/>
      <c r="IU268" s="18"/>
      <c r="IV268" s="18"/>
    </row>
    <row r="269" spans="1:256" s="64" customFormat="1" ht="12.75" customHeight="1">
      <c r="A269" s="302" t="s">
        <v>78</v>
      </c>
      <c r="B269" s="302" t="s">
        <v>203</v>
      </c>
      <c r="C269" s="658"/>
      <c r="D269" s="331">
        <f t="shared" ref="D269:O269" si="56">D267-D268</f>
        <v>65654.43333333332</v>
      </c>
      <c r="E269" s="331">
        <f t="shared" si="56"/>
        <v>53724.423333333325</v>
      </c>
      <c r="F269" s="331">
        <f t="shared" si="56"/>
        <v>46349.193333333329</v>
      </c>
      <c r="G269" s="331">
        <f t="shared" si="56"/>
        <v>78211.097692307696</v>
      </c>
      <c r="H269" s="331">
        <f t="shared" si="56"/>
        <v>87954.287692307684</v>
      </c>
      <c r="I269" s="331">
        <f t="shared" si="56"/>
        <v>119578.80269230768</v>
      </c>
      <c r="J269" s="331">
        <f t="shared" si="56"/>
        <v>105171.09</v>
      </c>
      <c r="K269" s="331">
        <f t="shared" si="56"/>
        <v>73853.759999999995</v>
      </c>
      <c r="L269" s="331">
        <f t="shared" si="56"/>
        <v>129096.63000000002</v>
      </c>
      <c r="M269" s="331">
        <f t="shared" si="56"/>
        <v>130044.03</v>
      </c>
      <c r="N269" s="331">
        <f t="shared" si="56"/>
        <v>136049.16</v>
      </c>
      <c r="O269" s="331">
        <f t="shared" si="56"/>
        <v>187495.50000000003</v>
      </c>
      <c r="P269" s="331">
        <f>SUM(C269:O269)</f>
        <v>1213182.4080769231</v>
      </c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  <c r="ES269" s="18"/>
      <c r="ET269" s="18"/>
      <c r="EU269" s="18"/>
      <c r="EV269" s="18"/>
      <c r="EW269" s="18"/>
      <c r="EX269" s="18"/>
      <c r="EY269" s="18"/>
      <c r="EZ269" s="18"/>
      <c r="FA269" s="18"/>
      <c r="FB269" s="18"/>
      <c r="FC269" s="18"/>
      <c r="FD269" s="18"/>
      <c r="FE269" s="18"/>
      <c r="FF269" s="18"/>
      <c r="FG269" s="18"/>
      <c r="FH269" s="18"/>
      <c r="FI269" s="18"/>
      <c r="FJ269" s="18"/>
      <c r="FK269" s="18"/>
      <c r="FL269" s="18"/>
      <c r="FM269" s="18"/>
      <c r="FN269" s="18"/>
      <c r="FO269" s="18"/>
      <c r="FP269" s="18"/>
      <c r="FQ269" s="18"/>
      <c r="FR269" s="18"/>
      <c r="FS269" s="18"/>
      <c r="FT269" s="18"/>
      <c r="FU269" s="18"/>
      <c r="FV269" s="18"/>
      <c r="FW269" s="18"/>
      <c r="FX269" s="18"/>
      <c r="FY269" s="18"/>
      <c r="FZ269" s="18"/>
      <c r="GA269" s="18"/>
      <c r="GB269" s="18"/>
      <c r="GC269" s="18"/>
      <c r="GD269" s="18"/>
      <c r="GE269" s="18"/>
      <c r="GF269" s="18"/>
      <c r="GG269" s="18"/>
      <c r="GH269" s="18"/>
      <c r="GI269" s="18"/>
      <c r="GJ269" s="18"/>
      <c r="GK269" s="18"/>
      <c r="GL269" s="18"/>
      <c r="GM269" s="18"/>
      <c r="GN269" s="18"/>
      <c r="GO269" s="18"/>
      <c r="GP269" s="18"/>
      <c r="GQ269" s="18"/>
      <c r="GR269" s="18"/>
      <c r="GS269" s="18"/>
      <c r="GT269" s="18"/>
      <c r="GU269" s="18"/>
      <c r="GV269" s="18"/>
      <c r="GW269" s="18"/>
      <c r="GX269" s="18"/>
      <c r="GY269" s="18"/>
      <c r="GZ269" s="18"/>
      <c r="HA269" s="18"/>
      <c r="HB269" s="18"/>
      <c r="HC269" s="18"/>
      <c r="HD269" s="18"/>
      <c r="HE269" s="18"/>
      <c r="HF269" s="18"/>
      <c r="HG269" s="18"/>
      <c r="HH269" s="18"/>
      <c r="HI269" s="18"/>
      <c r="HJ269" s="18"/>
      <c r="HK269" s="18"/>
      <c r="HL269" s="18"/>
      <c r="HM269" s="18"/>
      <c r="HN269" s="18"/>
      <c r="HO269" s="18"/>
      <c r="HP269" s="18"/>
      <c r="HQ269" s="18"/>
      <c r="HR269" s="18"/>
      <c r="HS269" s="18"/>
      <c r="HT269" s="18"/>
      <c r="HU269" s="18"/>
      <c r="HV269" s="18"/>
      <c r="HW269" s="18"/>
      <c r="HX269" s="18"/>
      <c r="HY269" s="18"/>
      <c r="HZ269" s="18"/>
      <c r="IA269" s="18"/>
      <c r="IB269" s="18"/>
      <c r="IC269" s="18"/>
      <c r="ID269" s="18"/>
      <c r="IE269" s="18"/>
      <c r="IF269" s="18"/>
      <c r="IG269" s="18"/>
      <c r="IH269" s="18"/>
      <c r="II269" s="18"/>
      <c r="IJ269" s="18"/>
      <c r="IK269" s="18"/>
      <c r="IL269" s="18"/>
      <c r="IM269" s="18"/>
      <c r="IN269" s="18"/>
      <c r="IO269" s="18"/>
      <c r="IP269" s="18"/>
      <c r="IQ269" s="18"/>
      <c r="IR269" s="18"/>
      <c r="IS269" s="18"/>
      <c r="IT269" s="18"/>
      <c r="IU269" s="18"/>
      <c r="IV269" s="18"/>
    </row>
    <row r="270" spans="1:256" s="64" customFormat="1" ht="25.5">
      <c r="A270" s="888">
        <v>2018</v>
      </c>
      <c r="B270" s="888"/>
      <c r="C270" s="888"/>
      <c r="D270" s="888"/>
      <c r="E270" s="888"/>
      <c r="F270" s="888"/>
      <c r="G270" s="888"/>
      <c r="H270" s="888"/>
      <c r="I270" s="888"/>
      <c r="J270" s="888"/>
      <c r="K270" s="888"/>
      <c r="L270" s="888"/>
      <c r="M270" s="888"/>
      <c r="N270" s="888"/>
      <c r="O270" s="888"/>
      <c r="P270" s="88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  <c r="ES270" s="18"/>
      <c r="ET270" s="18"/>
      <c r="EU270" s="18"/>
      <c r="EV270" s="18"/>
      <c r="EW270" s="18"/>
      <c r="EX270" s="18"/>
      <c r="EY270" s="18"/>
      <c r="EZ270" s="18"/>
      <c r="FA270" s="18"/>
      <c r="FB270" s="18"/>
      <c r="FC270" s="18"/>
      <c r="FD270" s="18"/>
      <c r="FE270" s="18"/>
      <c r="FF270" s="18"/>
      <c r="FG270" s="18"/>
      <c r="FH270" s="18"/>
      <c r="FI270" s="18"/>
      <c r="FJ270" s="18"/>
      <c r="FK270" s="18"/>
      <c r="FL270" s="18"/>
      <c r="FM270" s="18"/>
      <c r="FN270" s="18"/>
      <c r="FO270" s="18"/>
      <c r="FP270" s="18"/>
      <c r="FQ270" s="18"/>
      <c r="FR270" s="18"/>
      <c r="FS270" s="18"/>
      <c r="FT270" s="18"/>
      <c r="FU270" s="18"/>
      <c r="FV270" s="18"/>
      <c r="FW270" s="18"/>
      <c r="FX270" s="18"/>
      <c r="FY270" s="18"/>
      <c r="FZ270" s="18"/>
      <c r="GA270" s="18"/>
      <c r="GB270" s="18"/>
      <c r="GC270" s="18"/>
      <c r="GD270" s="18"/>
      <c r="GE270" s="18"/>
      <c r="GF270" s="18"/>
      <c r="GG270" s="18"/>
      <c r="GH270" s="18"/>
      <c r="GI270" s="18"/>
      <c r="GJ270" s="18"/>
      <c r="GK270" s="18"/>
      <c r="GL270" s="18"/>
      <c r="GM270" s="18"/>
      <c r="GN270" s="18"/>
      <c r="GO270" s="18"/>
      <c r="GP270" s="18"/>
      <c r="GQ270" s="18"/>
      <c r="GR270" s="18"/>
      <c r="GS270" s="18"/>
      <c r="GT270" s="18"/>
      <c r="GU270" s="18"/>
      <c r="GV270" s="18"/>
      <c r="GW270" s="18"/>
      <c r="GX270" s="18"/>
      <c r="GY270" s="18"/>
      <c r="GZ270" s="18"/>
      <c r="HA270" s="18"/>
      <c r="HB270" s="18"/>
      <c r="HC270" s="18"/>
      <c r="HD270" s="18"/>
      <c r="HE270" s="18"/>
      <c r="HF270" s="18"/>
      <c r="HG270" s="18"/>
      <c r="HH270" s="18"/>
      <c r="HI270" s="18"/>
      <c r="HJ270" s="18"/>
      <c r="HK270" s="18"/>
      <c r="HL270" s="18"/>
      <c r="HM270" s="18"/>
      <c r="HN270" s="18"/>
      <c r="HO270" s="18"/>
      <c r="HP270" s="18"/>
      <c r="HQ270" s="18"/>
      <c r="HR270" s="18"/>
      <c r="HS270" s="18"/>
      <c r="HT270" s="18"/>
      <c r="HU270" s="18"/>
      <c r="HV270" s="18"/>
      <c r="HW270" s="18"/>
      <c r="HX270" s="18"/>
      <c r="HY270" s="18"/>
      <c r="HZ270" s="18"/>
      <c r="IA270" s="18"/>
      <c r="IB270" s="18"/>
      <c r="IC270" s="18"/>
      <c r="ID270" s="18"/>
      <c r="IE270" s="18"/>
      <c r="IF270" s="18"/>
      <c r="IG270" s="18"/>
      <c r="IH270" s="18"/>
      <c r="II270" s="18"/>
      <c r="IJ270" s="18"/>
      <c r="IK270" s="18"/>
      <c r="IL270" s="18"/>
      <c r="IM270" s="18"/>
      <c r="IN270" s="18"/>
      <c r="IO270" s="18"/>
      <c r="IP270" s="18"/>
      <c r="IQ270" s="18"/>
      <c r="IR270" s="18"/>
      <c r="IS270" s="18"/>
      <c r="IT270" s="18"/>
      <c r="IU270" s="18"/>
      <c r="IV270" s="18"/>
    </row>
    <row r="271" spans="1:256" ht="12.75" customHeight="1">
      <c r="A271" s="831" t="s">
        <v>78</v>
      </c>
      <c r="B271" s="831" t="s">
        <v>102</v>
      </c>
      <c r="C271" s="831" t="s">
        <v>103</v>
      </c>
      <c r="D271" s="93" t="s">
        <v>75</v>
      </c>
      <c r="E271" s="93" t="s">
        <v>76</v>
      </c>
      <c r="F271" s="831" t="s">
        <v>77</v>
      </c>
      <c r="G271" s="831" t="s">
        <v>81</v>
      </c>
      <c r="H271" s="831" t="s">
        <v>82</v>
      </c>
      <c r="I271" s="831" t="s">
        <v>83</v>
      </c>
      <c r="J271" s="831" t="s">
        <v>84</v>
      </c>
      <c r="K271" s="831" t="s">
        <v>85</v>
      </c>
      <c r="L271" s="831" t="s">
        <v>86</v>
      </c>
      <c r="M271" s="831" t="s">
        <v>87</v>
      </c>
      <c r="N271" s="831" t="s">
        <v>88</v>
      </c>
      <c r="O271" s="831" t="s">
        <v>74</v>
      </c>
      <c r="P271" s="831" t="s">
        <v>104</v>
      </c>
    </row>
    <row r="272" spans="1:256" ht="15" hidden="1" customHeight="1">
      <c r="A272" s="908" t="s">
        <v>204</v>
      </c>
      <c r="B272" s="908"/>
      <c r="C272" s="908"/>
      <c r="D272" s="908"/>
      <c r="E272" s="908"/>
      <c r="F272" s="908"/>
      <c r="G272" s="908"/>
      <c r="H272" s="908"/>
      <c r="I272" s="908"/>
      <c r="J272" s="908"/>
      <c r="K272" s="908"/>
      <c r="L272" s="908"/>
      <c r="M272" s="908"/>
      <c r="N272" s="908"/>
      <c r="O272" s="908"/>
      <c r="P272" s="908"/>
    </row>
    <row r="273" spans="1:16" ht="12.75" hidden="1" customHeight="1">
      <c r="A273" s="94">
        <v>43</v>
      </c>
      <c r="B273" s="95" t="s">
        <v>205</v>
      </c>
      <c r="C273" s="54"/>
      <c r="D273" s="96">
        <v>4000</v>
      </c>
      <c r="E273" s="96">
        <v>4000</v>
      </c>
      <c r="F273" s="97">
        <f>4000</f>
        <v>4000</v>
      </c>
      <c r="G273" s="97">
        <v>4000</v>
      </c>
      <c r="H273" s="97"/>
      <c r="I273" s="97"/>
      <c r="J273" s="97"/>
      <c r="K273" s="97"/>
      <c r="L273" s="97"/>
      <c r="M273" s="98"/>
      <c r="N273" s="98"/>
      <c r="O273" s="98"/>
      <c r="P273" s="98">
        <f>SUM(D273:O273)</f>
        <v>16000</v>
      </c>
    </row>
    <row r="274" spans="1:16" ht="12.75" hidden="1" customHeight="1">
      <c r="A274" s="94">
        <v>44</v>
      </c>
      <c r="B274" s="95" t="s">
        <v>174</v>
      </c>
      <c r="C274" s="54"/>
      <c r="D274" s="96">
        <v>2400</v>
      </c>
      <c r="E274" s="96">
        <v>2400</v>
      </c>
      <c r="F274" s="97">
        <v>2400</v>
      </c>
      <c r="G274" s="97">
        <v>2400</v>
      </c>
      <c r="H274" s="97">
        <v>2400</v>
      </c>
      <c r="I274" s="97"/>
      <c r="J274" s="97"/>
      <c r="K274" s="97"/>
      <c r="L274" s="97"/>
      <c r="M274" s="98"/>
      <c r="N274" s="98"/>
      <c r="O274" s="98"/>
      <c r="P274" s="98">
        <f t="shared" ref="P274:P287" si="57">SUM(D274:O274)</f>
        <v>12000</v>
      </c>
    </row>
    <row r="275" spans="1:16" ht="12.75" hidden="1" customHeight="1">
      <c r="A275" s="94">
        <v>48</v>
      </c>
      <c r="B275" s="95" t="s">
        <v>206</v>
      </c>
      <c r="C275" s="54"/>
      <c r="D275" s="96">
        <v>600</v>
      </c>
      <c r="E275" s="96">
        <v>600</v>
      </c>
      <c r="F275" s="97">
        <v>600</v>
      </c>
      <c r="G275" s="97">
        <v>600</v>
      </c>
      <c r="H275" s="97">
        <v>600</v>
      </c>
      <c r="I275" s="97">
        <v>600</v>
      </c>
      <c r="J275" s="97"/>
      <c r="K275" s="97"/>
      <c r="L275" s="97"/>
      <c r="M275" s="98"/>
      <c r="N275" s="98"/>
      <c r="O275" s="98"/>
      <c r="P275" s="98">
        <f t="shared" si="57"/>
        <v>3600</v>
      </c>
    </row>
    <row r="276" spans="1:16" ht="12.75" hidden="1" customHeight="1">
      <c r="A276" s="94"/>
      <c r="B276" s="95" t="s">
        <v>207</v>
      </c>
      <c r="C276" s="54"/>
      <c r="D276" s="96"/>
      <c r="E276" s="96"/>
      <c r="F276" s="97"/>
      <c r="G276" s="97"/>
      <c r="H276" s="97">
        <v>300</v>
      </c>
      <c r="I276" s="97"/>
      <c r="J276" s="97"/>
      <c r="K276" s="97"/>
      <c r="L276" s="97"/>
      <c r="M276" s="98"/>
      <c r="N276" s="98"/>
      <c r="O276" s="98"/>
      <c r="P276" s="98">
        <f t="shared" si="57"/>
        <v>300</v>
      </c>
    </row>
    <row r="277" spans="1:16" ht="12.75" hidden="1" customHeight="1">
      <c r="A277" s="94">
        <v>49</v>
      </c>
      <c r="B277" s="95" t="s">
        <v>208</v>
      </c>
      <c r="C277" s="54"/>
      <c r="D277" s="96">
        <v>750</v>
      </c>
      <c r="E277" s="96">
        <v>750</v>
      </c>
      <c r="F277" s="96">
        <v>750</v>
      </c>
      <c r="G277" s="96">
        <v>750</v>
      </c>
      <c r="H277" s="97">
        <v>750</v>
      </c>
      <c r="I277" s="97">
        <v>750</v>
      </c>
      <c r="J277" s="97"/>
      <c r="K277" s="97"/>
      <c r="L277" s="97"/>
      <c r="M277" s="98"/>
      <c r="N277" s="98"/>
      <c r="O277" s="98"/>
      <c r="P277" s="98">
        <f t="shared" si="57"/>
        <v>4500</v>
      </c>
    </row>
    <row r="278" spans="1:16" ht="12.75" hidden="1" customHeight="1">
      <c r="A278" s="94">
        <v>50</v>
      </c>
      <c r="B278" s="95" t="s">
        <v>40</v>
      </c>
      <c r="C278" s="54"/>
      <c r="D278" s="96">
        <v>2400</v>
      </c>
      <c r="E278" s="96">
        <v>2400</v>
      </c>
      <c r="F278" s="97">
        <v>2400</v>
      </c>
      <c r="G278" s="97">
        <v>2400</v>
      </c>
      <c r="H278" s="97">
        <v>2400</v>
      </c>
      <c r="I278" s="97">
        <v>2400</v>
      </c>
      <c r="J278" s="97">
        <v>2400</v>
      </c>
      <c r="K278" s="97"/>
      <c r="L278" s="97"/>
      <c r="M278" s="98"/>
      <c r="N278" s="98"/>
      <c r="O278" s="98"/>
      <c r="P278" s="98">
        <f t="shared" si="57"/>
        <v>16800</v>
      </c>
    </row>
    <row r="279" spans="1:16" ht="12.75" hidden="1" customHeight="1">
      <c r="A279" s="94">
        <v>51</v>
      </c>
      <c r="B279" s="95" t="s">
        <v>206</v>
      </c>
      <c r="C279" s="54"/>
      <c r="D279" s="96">
        <v>490</v>
      </c>
      <c r="E279" s="96">
        <v>490</v>
      </c>
      <c r="F279" s="97">
        <v>490</v>
      </c>
      <c r="G279" s="97">
        <v>490</v>
      </c>
      <c r="H279" s="97">
        <v>490</v>
      </c>
      <c r="I279" s="97">
        <v>490</v>
      </c>
      <c r="J279" s="97">
        <v>490</v>
      </c>
      <c r="K279" s="97"/>
      <c r="L279" s="97"/>
      <c r="M279" s="98"/>
      <c r="N279" s="98"/>
      <c r="O279" s="98"/>
      <c r="P279" s="98">
        <f t="shared" si="57"/>
        <v>3430</v>
      </c>
    </row>
    <row r="280" spans="1:16" ht="12.75" hidden="1" customHeight="1">
      <c r="A280" s="99">
        <v>52</v>
      </c>
      <c r="B280" s="100" t="s">
        <v>205</v>
      </c>
      <c r="C280" s="101"/>
      <c r="D280" s="102">
        <v>4000</v>
      </c>
      <c r="E280" s="102">
        <v>4000</v>
      </c>
      <c r="F280" s="103">
        <f>4000</f>
        <v>4000</v>
      </c>
      <c r="G280" s="103">
        <v>4000</v>
      </c>
      <c r="H280" s="103">
        <v>4000</v>
      </c>
      <c r="I280" s="103">
        <v>4000</v>
      </c>
      <c r="J280" s="103">
        <v>4000</v>
      </c>
      <c r="K280" s="103">
        <v>4000</v>
      </c>
      <c r="L280" s="103">
        <v>4000</v>
      </c>
      <c r="M280" s="104">
        <v>4000</v>
      </c>
      <c r="N280" s="98"/>
      <c r="O280" s="98"/>
      <c r="P280" s="98">
        <f t="shared" si="57"/>
        <v>40000</v>
      </c>
    </row>
    <row r="281" spans="1:16" ht="12.75" hidden="1" customHeight="1">
      <c r="A281" s="94">
        <v>53</v>
      </c>
      <c r="B281" s="95" t="s">
        <v>206</v>
      </c>
      <c r="C281" s="54"/>
      <c r="D281" s="105">
        <v>750</v>
      </c>
      <c r="E281" s="105">
        <v>750</v>
      </c>
      <c r="F281" s="106">
        <v>750</v>
      </c>
      <c r="G281" s="106">
        <v>750</v>
      </c>
      <c r="H281" s="97">
        <v>750</v>
      </c>
      <c r="I281" s="97">
        <v>750</v>
      </c>
      <c r="J281" s="97">
        <v>750</v>
      </c>
      <c r="K281" s="97">
        <v>750</v>
      </c>
      <c r="L281" s="97">
        <v>750</v>
      </c>
      <c r="M281" s="98">
        <v>750</v>
      </c>
      <c r="N281" s="98">
        <v>750</v>
      </c>
      <c r="O281" s="98"/>
      <c r="P281" s="98">
        <f t="shared" si="57"/>
        <v>8250</v>
      </c>
    </row>
    <row r="282" spans="1:16" ht="12.75" hidden="1" customHeight="1">
      <c r="A282" s="94">
        <v>54</v>
      </c>
      <c r="B282" s="95" t="s">
        <v>173</v>
      </c>
      <c r="C282" s="54"/>
      <c r="D282" s="96">
        <v>1200</v>
      </c>
      <c r="E282" s="96">
        <v>1200</v>
      </c>
      <c r="F282" s="97">
        <v>1200</v>
      </c>
      <c r="G282" s="97">
        <v>1200</v>
      </c>
      <c r="H282" s="97">
        <v>1200</v>
      </c>
      <c r="I282" s="97">
        <v>1200</v>
      </c>
      <c r="J282" s="97">
        <v>1200</v>
      </c>
      <c r="K282" s="97">
        <v>1200</v>
      </c>
      <c r="L282" s="97">
        <v>1200</v>
      </c>
      <c r="M282" s="97">
        <v>1200</v>
      </c>
      <c r="N282" s="97">
        <v>1200</v>
      </c>
      <c r="O282" s="97"/>
      <c r="P282" s="97">
        <f t="shared" si="57"/>
        <v>13200</v>
      </c>
    </row>
    <row r="283" spans="1:16" ht="12.75" hidden="1" customHeight="1">
      <c r="A283" s="831">
        <v>55</v>
      </c>
      <c r="B283" s="95" t="s">
        <v>174</v>
      </c>
      <c r="C283" s="107"/>
      <c r="D283" s="108"/>
      <c r="E283" s="108"/>
      <c r="F283" s="109"/>
      <c r="G283" s="109"/>
      <c r="H283" s="109"/>
      <c r="I283" s="109">
        <v>2400</v>
      </c>
      <c r="J283" s="109">
        <v>2400</v>
      </c>
      <c r="K283" s="109">
        <v>2400</v>
      </c>
      <c r="L283" s="109">
        <v>2400</v>
      </c>
      <c r="M283" s="109">
        <v>2400</v>
      </c>
      <c r="N283" s="109">
        <v>2400</v>
      </c>
      <c r="O283" s="109">
        <v>2400</v>
      </c>
      <c r="P283" s="97">
        <f t="shared" si="57"/>
        <v>16800</v>
      </c>
    </row>
    <row r="284" spans="1:16" s="72" customFormat="1" ht="12.75" hidden="1" customHeight="1">
      <c r="A284" s="831">
        <v>56</v>
      </c>
      <c r="B284" s="110" t="s">
        <v>206</v>
      </c>
      <c r="C284" s="107"/>
      <c r="D284" s="108"/>
      <c r="E284" s="108"/>
      <c r="F284" s="109"/>
      <c r="G284" s="109"/>
      <c r="H284" s="109"/>
      <c r="I284" s="109">
        <v>250</v>
      </c>
      <c r="J284" s="109">
        <v>250</v>
      </c>
      <c r="K284" s="109">
        <v>250</v>
      </c>
      <c r="L284" s="109">
        <v>250</v>
      </c>
      <c r="M284" s="111">
        <v>250</v>
      </c>
      <c r="N284" s="111">
        <v>250</v>
      </c>
      <c r="O284" s="111">
        <v>250</v>
      </c>
      <c r="P284" s="98">
        <f t="shared" si="57"/>
        <v>1750</v>
      </c>
    </row>
    <row r="285" spans="1:16" ht="12.75" hidden="1" customHeight="1">
      <c r="A285" s="831">
        <v>57</v>
      </c>
      <c r="B285" s="95" t="s">
        <v>175</v>
      </c>
      <c r="C285" s="107"/>
      <c r="D285" s="108"/>
      <c r="E285" s="108"/>
      <c r="F285" s="109"/>
      <c r="G285" s="109"/>
      <c r="H285" s="109"/>
      <c r="I285" s="109"/>
      <c r="J285" s="109"/>
      <c r="K285" s="109">
        <v>3600</v>
      </c>
      <c r="L285" s="109">
        <v>3600</v>
      </c>
      <c r="M285" s="109">
        <v>3600</v>
      </c>
      <c r="N285" s="109">
        <v>3600</v>
      </c>
      <c r="O285" s="109">
        <v>3600</v>
      </c>
      <c r="P285" s="97">
        <f t="shared" si="57"/>
        <v>18000</v>
      </c>
    </row>
    <row r="286" spans="1:16" ht="12.75" hidden="1" customHeight="1">
      <c r="A286" s="831">
        <v>58</v>
      </c>
      <c r="B286" s="95" t="s">
        <v>40</v>
      </c>
      <c r="C286" s="107"/>
      <c r="D286" s="108"/>
      <c r="E286" s="108"/>
      <c r="F286" s="109"/>
      <c r="G286" s="109"/>
      <c r="H286" s="109"/>
      <c r="I286" s="109"/>
      <c r="J286" s="109"/>
      <c r="K286" s="109">
        <v>2400</v>
      </c>
      <c r="L286" s="109">
        <v>2400</v>
      </c>
      <c r="M286" s="109">
        <v>2400</v>
      </c>
      <c r="N286" s="109">
        <v>2400</v>
      </c>
      <c r="O286" s="109">
        <v>2400</v>
      </c>
      <c r="P286" s="97">
        <f t="shared" si="57"/>
        <v>12000</v>
      </c>
    </row>
    <row r="287" spans="1:16" ht="12.75" hidden="1" customHeight="1">
      <c r="A287" s="831">
        <v>59</v>
      </c>
      <c r="B287" s="95" t="s">
        <v>173</v>
      </c>
      <c r="C287" s="107"/>
      <c r="D287" s="108"/>
      <c r="E287" s="108"/>
      <c r="F287" s="109"/>
      <c r="G287" s="109"/>
      <c r="H287" s="109"/>
      <c r="I287" s="109"/>
      <c r="J287" s="109"/>
      <c r="K287" s="109"/>
      <c r="L287" s="109"/>
      <c r="M287" s="109">
        <v>1200</v>
      </c>
      <c r="N287" s="109">
        <v>1200</v>
      </c>
      <c r="O287" s="109">
        <v>1200</v>
      </c>
      <c r="P287" s="97">
        <f t="shared" si="57"/>
        <v>3600</v>
      </c>
    </row>
    <row r="288" spans="1:16" s="72" customFormat="1" ht="12.75" hidden="1" customHeight="1">
      <c r="A288" s="831">
        <v>60</v>
      </c>
      <c r="B288" s="110" t="s">
        <v>206</v>
      </c>
      <c r="C288" s="107"/>
      <c r="D288" s="108">
        <v>750</v>
      </c>
      <c r="E288" s="108">
        <v>750</v>
      </c>
      <c r="F288" s="109">
        <v>750</v>
      </c>
      <c r="G288" s="109">
        <v>750</v>
      </c>
      <c r="H288" s="109">
        <v>750</v>
      </c>
      <c r="I288" s="109">
        <v>750</v>
      </c>
      <c r="J288" s="109">
        <v>750</v>
      </c>
      <c r="K288" s="109">
        <v>750</v>
      </c>
      <c r="L288" s="109">
        <v>750</v>
      </c>
      <c r="M288" s="109">
        <v>750</v>
      </c>
      <c r="N288" s="111">
        <v>750</v>
      </c>
      <c r="O288" s="111"/>
      <c r="P288" s="111"/>
    </row>
    <row r="289" spans="1:16" ht="12.75" hidden="1" customHeight="1">
      <c r="A289" s="909" t="s">
        <v>25</v>
      </c>
      <c r="B289" s="909"/>
      <c r="C289" s="909"/>
      <c r="D289" s="909"/>
      <c r="E289" s="909"/>
      <c r="F289" s="909"/>
      <c r="G289" s="909"/>
      <c r="H289" s="909"/>
      <c r="I289" s="909"/>
      <c r="J289" s="909"/>
      <c r="K289" s="909"/>
      <c r="L289" s="909"/>
      <c r="M289" s="909"/>
      <c r="N289" s="909"/>
      <c r="O289" s="909"/>
      <c r="P289" s="909"/>
    </row>
    <row r="290" spans="1:16" ht="12.75" hidden="1" customHeight="1">
      <c r="A290" s="112" t="s">
        <v>105</v>
      </c>
      <c r="B290" s="113" t="s">
        <v>202</v>
      </c>
      <c r="C290" s="114"/>
      <c r="D290" s="115">
        <v>56079.17</v>
      </c>
      <c r="E290" s="115">
        <v>67424.899999999994</v>
      </c>
      <c r="F290" s="116">
        <f>11745.21+11735.62+11735.62</f>
        <v>35216.450000000004</v>
      </c>
      <c r="G290" s="116">
        <v>75288.56</v>
      </c>
      <c r="H290" s="116">
        <v>23390.69</v>
      </c>
      <c r="I290" s="116">
        <v>58460.42</v>
      </c>
      <c r="J290" s="117">
        <v>46734.8</v>
      </c>
      <c r="K290" s="118">
        <v>70162.740000000005</v>
      </c>
      <c r="L290" s="117">
        <v>46762.74</v>
      </c>
      <c r="M290" s="118">
        <v>46899.31</v>
      </c>
      <c r="N290" s="118">
        <v>54269.29</v>
      </c>
      <c r="O290" s="118">
        <v>86416.8</v>
      </c>
      <c r="P290" s="119">
        <f>SUM(C290:O290)</f>
        <v>667105.87000000011</v>
      </c>
    </row>
    <row r="291" spans="1:16" ht="12.75" hidden="1" customHeight="1">
      <c r="A291" s="908" t="s">
        <v>209</v>
      </c>
      <c r="B291" s="908"/>
      <c r="C291" s="908"/>
      <c r="D291" s="908"/>
      <c r="E291" s="908"/>
      <c r="F291" s="908"/>
      <c r="G291" s="908"/>
      <c r="H291" s="908"/>
      <c r="I291" s="908"/>
      <c r="J291" s="908"/>
      <c r="K291" s="908"/>
      <c r="L291" s="908"/>
      <c r="M291" s="908"/>
      <c r="N291" s="908"/>
      <c r="O291" s="908"/>
      <c r="P291" s="908"/>
    </row>
    <row r="292" spans="1:16" ht="12.75" hidden="1" customHeight="1">
      <c r="A292" s="94" t="s">
        <v>105</v>
      </c>
      <c r="B292" s="95" t="s">
        <v>210</v>
      </c>
      <c r="C292" s="54"/>
      <c r="D292" s="96">
        <v>12000</v>
      </c>
      <c r="E292" s="96">
        <v>12000</v>
      </c>
      <c r="F292" s="97">
        <v>12000</v>
      </c>
      <c r="G292" s="97">
        <v>10537.92</v>
      </c>
      <c r="H292" s="97">
        <v>7000</v>
      </c>
      <c r="I292" s="97">
        <v>7000</v>
      </c>
      <c r="J292" s="97">
        <v>7000</v>
      </c>
      <c r="K292" s="97">
        <v>7000</v>
      </c>
      <c r="L292" s="97">
        <v>7000</v>
      </c>
      <c r="M292" s="98">
        <v>7000</v>
      </c>
      <c r="N292" s="98">
        <v>7000</v>
      </c>
      <c r="O292" s="98">
        <v>7000</v>
      </c>
      <c r="P292" s="98">
        <f t="shared" ref="P292:P299" si="58">SUM(C292:O292)</f>
        <v>102537.92</v>
      </c>
    </row>
    <row r="293" spans="1:16" ht="12.75" hidden="1" customHeight="1">
      <c r="A293" s="94" t="s">
        <v>105</v>
      </c>
      <c r="B293" s="95" t="s">
        <v>211</v>
      </c>
      <c r="C293" s="54"/>
      <c r="D293" s="96">
        <v>6547.53</v>
      </c>
      <c r="E293" s="96">
        <v>6547.53</v>
      </c>
      <c r="F293" s="97">
        <v>6547.53</v>
      </c>
      <c r="G293" s="97">
        <v>6547.53</v>
      </c>
      <c r="H293" s="97">
        <v>6547.53</v>
      </c>
      <c r="I293" s="97">
        <v>6547.53</v>
      </c>
      <c r="J293" s="97">
        <v>6547.53</v>
      </c>
      <c r="K293" s="97">
        <v>6547.53</v>
      </c>
      <c r="L293" s="97">
        <v>6547.53</v>
      </c>
      <c r="M293" s="97">
        <f>4058.81+2949.7</f>
        <v>7008.51</v>
      </c>
      <c r="N293" s="98">
        <f>M293</f>
        <v>7008.51</v>
      </c>
      <c r="O293" s="98">
        <f>N293+N293/2</f>
        <v>10512.764999999999</v>
      </c>
      <c r="P293" s="98">
        <f t="shared" si="58"/>
        <v>83457.554999999993</v>
      </c>
    </row>
    <row r="294" spans="1:16" ht="12.75" hidden="1" customHeight="1">
      <c r="A294" s="94" t="s">
        <v>105</v>
      </c>
      <c r="B294" s="95" t="s">
        <v>212</v>
      </c>
      <c r="C294" s="54"/>
      <c r="D294" s="96"/>
      <c r="E294" s="96"/>
      <c r="F294" s="97"/>
      <c r="G294" s="97"/>
      <c r="H294" s="97"/>
      <c r="I294" s="97"/>
      <c r="J294" s="97"/>
      <c r="K294" s="97"/>
      <c r="L294" s="97"/>
      <c r="M294" s="98"/>
      <c r="N294" s="98"/>
      <c r="O294" s="98"/>
      <c r="P294" s="98">
        <f t="shared" si="58"/>
        <v>0</v>
      </c>
    </row>
    <row r="295" spans="1:16" ht="12.75" hidden="1" customHeight="1">
      <c r="A295" s="94" t="s">
        <v>105</v>
      </c>
      <c r="B295" s="95" t="s">
        <v>213</v>
      </c>
      <c r="C295" s="54"/>
      <c r="D295" s="96">
        <v>6498</v>
      </c>
      <c r="E295" s="96">
        <v>6198</v>
      </c>
      <c r="F295" s="97">
        <v>6798</v>
      </c>
      <c r="G295" s="97">
        <v>7248</v>
      </c>
      <c r="H295" s="97">
        <v>7168</v>
      </c>
      <c r="I295" s="97">
        <v>7000</v>
      </c>
      <c r="J295" s="97">
        <v>6548</v>
      </c>
      <c r="K295" s="97">
        <v>6348</v>
      </c>
      <c r="L295" s="97">
        <v>6158</v>
      </c>
      <c r="M295" s="98">
        <v>6158</v>
      </c>
      <c r="N295" s="98">
        <v>6158</v>
      </c>
      <c r="O295" s="98">
        <v>6158</v>
      </c>
      <c r="P295" s="98">
        <f t="shared" si="58"/>
        <v>78438</v>
      </c>
    </row>
    <row r="296" spans="1:16" ht="12.75" hidden="1" customHeight="1">
      <c r="A296" s="94" t="s">
        <v>105</v>
      </c>
      <c r="B296" s="95" t="s">
        <v>214</v>
      </c>
      <c r="C296" s="54"/>
      <c r="D296" s="96">
        <v>12000</v>
      </c>
      <c r="E296" s="96">
        <v>12000</v>
      </c>
      <c r="F296" s="97">
        <v>12000</v>
      </c>
      <c r="G296" s="97">
        <v>12000</v>
      </c>
      <c r="H296" s="97">
        <v>12000</v>
      </c>
      <c r="I296" s="97">
        <f>15201.42+6995.71+1874.99</f>
        <v>24072.120000000003</v>
      </c>
      <c r="J296" s="120">
        <v>15201.42</v>
      </c>
      <c r="K296" s="97">
        <v>15201.42</v>
      </c>
      <c r="L296" s="97">
        <v>15201.42</v>
      </c>
      <c r="M296" s="98">
        <f>17165.56+252</f>
        <v>17417.560000000001</v>
      </c>
      <c r="N296" s="98">
        <f>M296</f>
        <v>17417.560000000001</v>
      </c>
      <c r="O296" s="98">
        <f>N296+N296/2</f>
        <v>26126.340000000004</v>
      </c>
      <c r="P296" s="98">
        <f t="shared" si="58"/>
        <v>190637.84</v>
      </c>
    </row>
    <row r="297" spans="1:16" ht="12.75" hidden="1" customHeight="1">
      <c r="A297" s="94" t="s">
        <v>105</v>
      </c>
      <c r="B297" s="95" t="s">
        <v>215</v>
      </c>
      <c r="C297" s="54"/>
      <c r="D297" s="96">
        <v>7000</v>
      </c>
      <c r="E297" s="96">
        <v>7000</v>
      </c>
      <c r="F297" s="97">
        <v>7000</v>
      </c>
      <c r="G297" s="97">
        <v>7000</v>
      </c>
      <c r="H297" s="97">
        <f>7000+2000</f>
        <v>9000</v>
      </c>
      <c r="I297" s="97">
        <v>10000</v>
      </c>
      <c r="J297" s="97">
        <v>7000</v>
      </c>
      <c r="K297" s="97">
        <v>7000</v>
      </c>
      <c r="L297" s="97">
        <v>7000</v>
      </c>
      <c r="M297" s="98">
        <v>7000</v>
      </c>
      <c r="N297" s="98">
        <v>8500</v>
      </c>
      <c r="O297" s="98">
        <f>8500+8500/2</f>
        <v>12750</v>
      </c>
      <c r="P297" s="98">
        <f t="shared" si="58"/>
        <v>96250</v>
      </c>
    </row>
    <row r="298" spans="1:16" ht="12.75" hidden="1" customHeight="1">
      <c r="A298" s="94" t="s">
        <v>105</v>
      </c>
      <c r="B298" s="95" t="s">
        <v>216</v>
      </c>
      <c r="C298" s="54"/>
      <c r="D298" s="96"/>
      <c r="E298" s="96"/>
      <c r="F298" s="97"/>
      <c r="G298" s="97"/>
      <c r="H298" s="97">
        <v>1600</v>
      </c>
      <c r="I298" s="97"/>
      <c r="J298" s="97"/>
      <c r="K298" s="97"/>
      <c r="L298" s="97"/>
      <c r="M298" s="98"/>
      <c r="N298" s="98"/>
      <c r="O298" s="98"/>
      <c r="P298" s="98">
        <f t="shared" si="58"/>
        <v>1600</v>
      </c>
    </row>
    <row r="299" spans="1:16" ht="12.75" hidden="1" customHeight="1">
      <c r="A299" s="830" t="s">
        <v>105</v>
      </c>
      <c r="B299" s="121" t="s">
        <v>217</v>
      </c>
      <c r="C299" s="122"/>
      <c r="D299" s="123"/>
      <c r="E299" s="123"/>
      <c r="F299" s="124"/>
      <c r="G299" s="124"/>
      <c r="H299" s="124"/>
      <c r="I299" s="124"/>
      <c r="J299" s="124"/>
      <c r="K299" s="124">
        <v>500</v>
      </c>
      <c r="L299" s="124">
        <v>500</v>
      </c>
      <c r="M299" s="124">
        <v>500</v>
      </c>
      <c r="N299" s="125">
        <v>500</v>
      </c>
      <c r="O299" s="125">
        <v>500</v>
      </c>
      <c r="P299" s="125">
        <f t="shared" si="58"/>
        <v>2500</v>
      </c>
    </row>
    <row r="300" spans="1:16" ht="12.75" hidden="1" customHeight="1">
      <c r="A300" s="94" t="s">
        <v>105</v>
      </c>
      <c r="B300" s="95" t="s">
        <v>218</v>
      </c>
      <c r="C300" s="54"/>
      <c r="D300" s="52"/>
      <c r="E300" s="52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</row>
    <row r="301" spans="1:16" ht="12.75" hidden="1" customHeight="1">
      <c r="A301" s="907" t="s">
        <v>185</v>
      </c>
      <c r="B301" s="907"/>
      <c r="C301" s="907"/>
      <c r="D301" s="907"/>
      <c r="E301" s="907"/>
      <c r="F301" s="907"/>
      <c r="G301" s="907"/>
      <c r="H301" s="907"/>
      <c r="I301" s="907"/>
      <c r="J301" s="907"/>
      <c r="K301" s="907"/>
      <c r="L301" s="907"/>
      <c r="M301" s="907"/>
      <c r="N301" s="907"/>
      <c r="O301" s="907"/>
      <c r="P301" s="907"/>
    </row>
    <row r="302" spans="1:16" ht="12.75" hidden="1" customHeight="1">
      <c r="A302" s="126" t="s">
        <v>122</v>
      </c>
      <c r="B302" s="94" t="s">
        <v>202</v>
      </c>
      <c r="C302" s="94"/>
      <c r="D302" s="94"/>
      <c r="E302" s="94"/>
      <c r="F302" s="94"/>
      <c r="G302" s="127"/>
      <c r="H302" s="127">
        <v>20000</v>
      </c>
      <c r="I302" s="127"/>
      <c r="J302" s="127"/>
      <c r="K302" s="94"/>
      <c r="L302" s="94"/>
      <c r="M302" s="96">
        <f>10000+25000</f>
        <v>35000</v>
      </c>
      <c r="N302" s="96">
        <v>60000</v>
      </c>
      <c r="O302" s="96">
        <f>2*40000</f>
        <v>80000</v>
      </c>
      <c r="P302" s="128">
        <f>SUM(C302:O302)</f>
        <v>195000</v>
      </c>
    </row>
    <row r="303" spans="1:16" ht="12.75" hidden="1" customHeight="1">
      <c r="A303" s="831" t="s">
        <v>122</v>
      </c>
      <c r="B303" s="129" t="s">
        <v>204</v>
      </c>
      <c r="C303" s="831"/>
      <c r="D303" s="831"/>
      <c r="E303" s="831"/>
      <c r="F303" s="831"/>
      <c r="G303" s="130">
        <v>20000</v>
      </c>
      <c r="H303" s="130"/>
      <c r="I303" s="130">
        <f>40000+20000</f>
        <v>60000</v>
      </c>
      <c r="J303" s="130">
        <v>30000</v>
      </c>
      <c r="K303" s="831"/>
      <c r="L303" s="831"/>
      <c r="M303" s="131"/>
      <c r="N303" s="131"/>
      <c r="O303" s="131"/>
      <c r="P303" s="132">
        <f>SUM(C303:O303)</f>
        <v>110000</v>
      </c>
    </row>
    <row r="304" spans="1:16" ht="12.75" hidden="1" customHeight="1">
      <c r="A304" s="913" t="s">
        <v>219</v>
      </c>
      <c r="B304" s="914"/>
      <c r="C304" s="914"/>
      <c r="D304" s="914"/>
      <c r="E304" s="914"/>
      <c r="F304" s="914"/>
      <c r="G304" s="914"/>
      <c r="H304" s="914"/>
      <c r="I304" s="914"/>
      <c r="J304" s="914"/>
      <c r="K304" s="914"/>
      <c r="L304" s="914"/>
      <c r="M304" s="914"/>
      <c r="N304" s="914"/>
      <c r="O304" s="914"/>
      <c r="P304" s="915"/>
    </row>
    <row r="305" spans="1:16" ht="12.75" hidden="1" customHeight="1">
      <c r="A305" s="133" t="s">
        <v>122</v>
      </c>
      <c r="B305" s="129" t="s">
        <v>220</v>
      </c>
      <c r="C305" s="831"/>
      <c r="D305" s="831"/>
      <c r="E305" s="831"/>
      <c r="F305" s="831"/>
      <c r="G305" s="132"/>
      <c r="H305" s="132">
        <v>2000</v>
      </c>
      <c r="I305" s="134"/>
      <c r="J305" s="134"/>
      <c r="K305" s="831"/>
      <c r="L305" s="831"/>
      <c r="M305" s="831"/>
      <c r="N305" s="831"/>
      <c r="O305" s="831"/>
      <c r="P305" s="132">
        <f t="shared" ref="P305:P310" si="59">SUM(C305:O305)</f>
        <v>2000</v>
      </c>
    </row>
    <row r="306" spans="1:16" ht="12.75" hidden="1" customHeight="1">
      <c r="A306" s="133" t="s">
        <v>122</v>
      </c>
      <c r="B306" s="95" t="s">
        <v>40</v>
      </c>
      <c r="C306" s="831"/>
      <c r="D306" s="831"/>
      <c r="E306" s="831"/>
      <c r="F306" s="831"/>
      <c r="G306" s="132"/>
      <c r="H306" s="132"/>
      <c r="I306" s="134"/>
      <c r="J306" s="130">
        <v>20000</v>
      </c>
      <c r="K306" s="831"/>
      <c r="L306" s="831"/>
      <c r="M306" s="831"/>
      <c r="N306" s="831"/>
      <c r="O306" s="831"/>
      <c r="P306" s="132">
        <f t="shared" si="59"/>
        <v>20000</v>
      </c>
    </row>
    <row r="307" spans="1:16" ht="12.75" hidden="1" customHeight="1">
      <c r="A307" s="133" t="s">
        <v>122</v>
      </c>
      <c r="B307" s="110" t="s">
        <v>173</v>
      </c>
      <c r="C307" s="831"/>
      <c r="D307" s="831"/>
      <c r="E307" s="831"/>
      <c r="F307" s="831"/>
      <c r="G307" s="132"/>
      <c r="H307" s="132"/>
      <c r="I307" s="134"/>
      <c r="J307" s="130"/>
      <c r="K307" s="831"/>
      <c r="L307" s="108">
        <v>10000</v>
      </c>
      <c r="M307" s="831"/>
      <c r="N307" s="831"/>
      <c r="O307" s="831"/>
      <c r="P307" s="132">
        <f t="shared" si="59"/>
        <v>10000</v>
      </c>
    </row>
    <row r="308" spans="1:16" ht="12.75" hidden="1" customHeight="1">
      <c r="A308" s="832"/>
      <c r="B308" s="833" t="s">
        <v>187</v>
      </c>
      <c r="C308" s="135">
        <f>SUM(C305:C307)</f>
        <v>0</v>
      </c>
      <c r="D308" s="135">
        <f t="shared" ref="D308:O308" si="60">SUM(D305:D307)</f>
        <v>0</v>
      </c>
      <c r="E308" s="135">
        <f t="shared" si="60"/>
        <v>0</v>
      </c>
      <c r="F308" s="135">
        <f t="shared" si="60"/>
        <v>0</v>
      </c>
      <c r="G308" s="135">
        <f t="shared" si="60"/>
        <v>0</v>
      </c>
      <c r="H308" s="135">
        <f t="shared" si="60"/>
        <v>2000</v>
      </c>
      <c r="I308" s="135">
        <f t="shared" si="60"/>
        <v>0</v>
      </c>
      <c r="J308" s="135">
        <f t="shared" si="60"/>
        <v>20000</v>
      </c>
      <c r="K308" s="135">
        <f t="shared" si="60"/>
        <v>0</v>
      </c>
      <c r="L308" s="135">
        <f t="shared" si="60"/>
        <v>10000</v>
      </c>
      <c r="M308" s="135">
        <f t="shared" si="60"/>
        <v>0</v>
      </c>
      <c r="N308" s="135">
        <f t="shared" si="60"/>
        <v>0</v>
      </c>
      <c r="O308" s="135">
        <f t="shared" si="60"/>
        <v>0</v>
      </c>
      <c r="P308" s="132">
        <f t="shared" si="59"/>
        <v>32000</v>
      </c>
    </row>
    <row r="309" spans="1:16" ht="12.75" hidden="1" customHeight="1">
      <c r="A309" s="910" t="s">
        <v>183</v>
      </c>
      <c r="B309" s="911"/>
      <c r="C309" s="911"/>
      <c r="D309" s="911"/>
      <c r="E309" s="911"/>
      <c r="F309" s="911"/>
      <c r="G309" s="911"/>
      <c r="H309" s="911"/>
      <c r="I309" s="911"/>
      <c r="J309" s="911"/>
      <c r="K309" s="911"/>
      <c r="L309" s="911"/>
      <c r="M309" s="911"/>
      <c r="N309" s="911"/>
      <c r="O309" s="911"/>
      <c r="P309" s="912"/>
    </row>
    <row r="310" spans="1:16" ht="12.75" hidden="1" customHeight="1">
      <c r="A310" s="831" t="s">
        <v>122</v>
      </c>
      <c r="B310" s="110" t="s">
        <v>153</v>
      </c>
      <c r="C310" s="107"/>
      <c r="D310" s="131"/>
      <c r="E310" s="131"/>
      <c r="F310" s="111"/>
      <c r="G310" s="111"/>
      <c r="H310" s="111">
        <v>488.42</v>
      </c>
      <c r="I310" s="111"/>
      <c r="J310" s="109">
        <v>615.38</v>
      </c>
      <c r="K310" s="111"/>
      <c r="L310" s="111">
        <v>615.38</v>
      </c>
      <c r="M310" s="111"/>
      <c r="N310" s="109">
        <v>615.38</v>
      </c>
      <c r="O310" s="111"/>
      <c r="P310" s="132">
        <f t="shared" si="59"/>
        <v>2334.56</v>
      </c>
    </row>
    <row r="311" spans="1:16" ht="12.75" hidden="1" customHeight="1">
      <c r="A311" s="94" t="s">
        <v>122</v>
      </c>
      <c r="B311" s="136" t="s">
        <v>154</v>
      </c>
      <c r="C311" s="54"/>
      <c r="D311" s="52"/>
      <c r="E311" s="96">
        <v>335.48</v>
      </c>
      <c r="F311" s="97"/>
      <c r="G311" s="97">
        <v>357.77</v>
      </c>
      <c r="H311" s="97">
        <v>357.77</v>
      </c>
      <c r="I311" s="97">
        <v>540.47</v>
      </c>
      <c r="J311" s="97">
        <v>540.47</v>
      </c>
      <c r="K311" s="98"/>
      <c r="L311" s="98"/>
      <c r="M311" s="98"/>
      <c r="N311" s="97">
        <v>85.33</v>
      </c>
      <c r="O311" s="98"/>
      <c r="P311" s="98">
        <f t="shared" ref="P311:P325" si="61">SUM(D311:O311)</f>
        <v>2217.29</v>
      </c>
    </row>
    <row r="312" spans="1:16" ht="12.75" hidden="1" customHeight="1">
      <c r="A312" s="94" t="s">
        <v>122</v>
      </c>
      <c r="B312" s="95" t="s">
        <v>200</v>
      </c>
      <c r="C312" s="54"/>
      <c r="D312" s="52"/>
      <c r="E312" s="52">
        <v>614</v>
      </c>
      <c r="F312" s="98"/>
      <c r="G312" s="98"/>
      <c r="H312" s="98">
        <v>695.87</v>
      </c>
      <c r="I312" s="137">
        <v>695.01</v>
      </c>
      <c r="J312" s="97">
        <v>764.64</v>
      </c>
      <c r="K312" s="97">
        <v>777.86</v>
      </c>
      <c r="L312" s="98">
        <v>835.24</v>
      </c>
      <c r="M312" s="97">
        <v>953.99</v>
      </c>
      <c r="N312" s="97">
        <v>956.53</v>
      </c>
      <c r="O312" s="98"/>
      <c r="P312" s="98">
        <f t="shared" si="61"/>
        <v>6293.1399999999994</v>
      </c>
    </row>
    <row r="313" spans="1:16" ht="12.75" hidden="1" customHeight="1">
      <c r="A313" s="94" t="s">
        <v>122</v>
      </c>
      <c r="B313" s="53" t="s">
        <v>201</v>
      </c>
      <c r="C313" s="54"/>
      <c r="D313" s="138">
        <v>211.96</v>
      </c>
      <c r="E313" s="96">
        <v>211.68</v>
      </c>
      <c r="F313" s="97">
        <v>302.63</v>
      </c>
      <c r="G313" s="139">
        <v>302.63</v>
      </c>
      <c r="H313" s="97">
        <v>302.63</v>
      </c>
      <c r="I313" s="97">
        <v>302.63</v>
      </c>
      <c r="J313" s="140">
        <v>302.63</v>
      </c>
      <c r="K313" s="97">
        <v>332.19</v>
      </c>
      <c r="L313" s="54">
        <v>329.99</v>
      </c>
      <c r="M313" s="97">
        <v>329.99</v>
      </c>
      <c r="N313" s="98">
        <v>329.99</v>
      </c>
      <c r="O313" s="98"/>
      <c r="P313" s="98">
        <f t="shared" si="61"/>
        <v>3258.95</v>
      </c>
    </row>
    <row r="314" spans="1:16" ht="12.75" hidden="1" customHeight="1">
      <c r="A314" s="94" t="s">
        <v>122</v>
      </c>
      <c r="B314" s="53" t="s">
        <v>155</v>
      </c>
      <c r="C314" s="54"/>
      <c r="D314" s="141">
        <v>165.65</v>
      </c>
      <c r="E314" s="52"/>
      <c r="F314" s="98">
        <v>198.27</v>
      </c>
      <c r="G314" s="98">
        <v>226</v>
      </c>
      <c r="H314" s="98">
        <v>256.37</v>
      </c>
      <c r="I314" s="98">
        <v>257.39999999999998</v>
      </c>
      <c r="J314" s="140">
        <v>296.06</v>
      </c>
      <c r="K314" s="97">
        <v>305.98</v>
      </c>
      <c r="L314" s="140">
        <v>279.95999999999998</v>
      </c>
      <c r="M314" s="97">
        <v>329.75</v>
      </c>
      <c r="N314" s="97">
        <v>261.95</v>
      </c>
      <c r="O314" s="97">
        <v>273.25</v>
      </c>
      <c r="P314" s="98">
        <f t="shared" si="61"/>
        <v>2850.64</v>
      </c>
    </row>
    <row r="315" spans="1:16" ht="12.75" hidden="1" customHeight="1">
      <c r="A315" s="94" t="s">
        <v>122</v>
      </c>
      <c r="B315" s="95" t="s">
        <v>180</v>
      </c>
      <c r="C315" s="54"/>
      <c r="D315" s="52">
        <v>5953.4</v>
      </c>
      <c r="E315" s="52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>
        <f>SUM(D315:O315)</f>
        <v>5953.4</v>
      </c>
    </row>
    <row r="316" spans="1:16" ht="12.75" hidden="1" customHeight="1">
      <c r="A316" s="94" t="s">
        <v>122</v>
      </c>
      <c r="B316" s="53" t="s">
        <v>221</v>
      </c>
      <c r="C316" s="54"/>
      <c r="D316" s="52"/>
      <c r="E316" s="52"/>
      <c r="F316" s="98"/>
      <c r="G316" s="98"/>
      <c r="H316" s="98"/>
      <c r="I316" s="98"/>
      <c r="J316" s="140">
        <v>2020</v>
      </c>
      <c r="K316" s="97">
        <v>2020</v>
      </c>
      <c r="L316" s="54">
        <v>2020</v>
      </c>
      <c r="M316" s="97">
        <v>2020</v>
      </c>
      <c r="N316" s="98">
        <v>2020</v>
      </c>
      <c r="O316" s="98">
        <v>2020</v>
      </c>
      <c r="P316" s="98">
        <f>SUM(D316:O316)</f>
        <v>12120</v>
      </c>
    </row>
    <row r="317" spans="1:16" ht="12.75" hidden="1" customHeight="1">
      <c r="A317" s="94" t="s">
        <v>122</v>
      </c>
      <c r="B317" s="53" t="s">
        <v>181</v>
      </c>
      <c r="C317" s="54"/>
      <c r="D317" s="141"/>
      <c r="E317" s="52">
        <v>787.6</v>
      </c>
      <c r="F317" s="98"/>
      <c r="G317" s="98"/>
      <c r="H317" s="98"/>
      <c r="I317" s="98"/>
      <c r="J317" s="54"/>
      <c r="K317" s="98"/>
      <c r="L317" s="54"/>
      <c r="M317" s="98"/>
      <c r="N317" s="98"/>
      <c r="O317" s="98"/>
      <c r="P317" s="98">
        <f>SUM(D317:O317)</f>
        <v>787.6</v>
      </c>
    </row>
    <row r="318" spans="1:16" ht="12.75" hidden="1" customHeight="1">
      <c r="A318" s="94" t="s">
        <v>122</v>
      </c>
      <c r="B318" s="53" t="s">
        <v>182</v>
      </c>
      <c r="C318" s="54"/>
      <c r="D318" s="141"/>
      <c r="E318" s="52">
        <v>4178.16</v>
      </c>
      <c r="F318" s="98"/>
      <c r="G318" s="98"/>
      <c r="H318" s="98"/>
      <c r="I318" s="98"/>
      <c r="J318" s="54"/>
      <c r="K318" s="98"/>
      <c r="L318" s="54"/>
      <c r="M318" s="98"/>
      <c r="N318" s="98"/>
      <c r="O318" s="98"/>
      <c r="P318" s="98">
        <f>SUM(D318:O318)</f>
        <v>4178.16</v>
      </c>
    </row>
    <row r="319" spans="1:16" ht="12.75" hidden="1" customHeight="1">
      <c r="A319" s="834"/>
      <c r="B319" s="827" t="s">
        <v>161</v>
      </c>
      <c r="C319" s="142"/>
      <c r="D319" s="143"/>
      <c r="E319" s="144"/>
      <c r="F319" s="145"/>
      <c r="G319" s="145"/>
      <c r="H319" s="145"/>
      <c r="I319" s="145"/>
      <c r="J319" s="142"/>
      <c r="K319" s="145"/>
      <c r="L319" s="142"/>
      <c r="M319" s="145"/>
      <c r="N319" s="145"/>
      <c r="O319" s="145"/>
      <c r="P319" s="146"/>
    </row>
    <row r="320" spans="1:16" ht="12.75" hidden="1" customHeight="1">
      <c r="A320" s="922" t="s">
        <v>149</v>
      </c>
      <c r="B320" s="923"/>
      <c r="C320" s="923"/>
      <c r="D320" s="923"/>
      <c r="E320" s="923"/>
      <c r="F320" s="923"/>
      <c r="G320" s="923"/>
      <c r="H320" s="923"/>
      <c r="I320" s="923"/>
      <c r="J320" s="923"/>
      <c r="K320" s="923"/>
      <c r="L320" s="923"/>
      <c r="M320" s="923"/>
      <c r="N320" s="923"/>
      <c r="O320" s="923"/>
      <c r="P320" s="924"/>
    </row>
    <row r="321" spans="1:256" ht="12.75" hidden="1" customHeight="1">
      <c r="A321" s="147" t="s">
        <v>122</v>
      </c>
      <c r="B321" s="148" t="s">
        <v>38</v>
      </c>
      <c r="C321" s="149">
        <v>0</v>
      </c>
      <c r="D321" s="150"/>
      <c r="E321" s="150"/>
      <c r="F321" s="151"/>
      <c r="G321" s="151"/>
      <c r="H321" s="151"/>
      <c r="I321" s="152">
        <v>7000</v>
      </c>
      <c r="J321" s="152">
        <v>7000</v>
      </c>
      <c r="K321" s="152">
        <v>7000</v>
      </c>
      <c r="L321" s="152">
        <v>7000</v>
      </c>
      <c r="M321" s="152">
        <v>7000</v>
      </c>
      <c r="N321" s="152">
        <v>7000</v>
      </c>
      <c r="O321" s="152">
        <v>7000</v>
      </c>
      <c r="P321" s="151">
        <f t="shared" si="61"/>
        <v>49000</v>
      </c>
    </row>
    <row r="322" spans="1:256" s="64" customFormat="1" ht="12.75" hidden="1" customHeight="1">
      <c r="A322" s="153" t="s">
        <v>122</v>
      </c>
      <c r="B322" s="148" t="s">
        <v>222</v>
      </c>
      <c r="C322" s="154">
        <v>0</v>
      </c>
      <c r="D322" s="154"/>
      <c r="E322" s="154"/>
      <c r="F322" s="154"/>
      <c r="G322" s="154"/>
      <c r="H322" s="154"/>
      <c r="I322" s="154"/>
      <c r="J322" s="154"/>
      <c r="K322" s="154"/>
      <c r="L322" s="154"/>
      <c r="M322" s="155">
        <v>1700</v>
      </c>
      <c r="N322" s="154"/>
      <c r="O322" s="154"/>
      <c r="P322" s="151">
        <f t="shared" si="61"/>
        <v>1700</v>
      </c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  <c r="ES322" s="18"/>
      <c r="ET322" s="18"/>
      <c r="EU322" s="18"/>
      <c r="EV322" s="18"/>
      <c r="EW322" s="18"/>
      <c r="EX322" s="18"/>
      <c r="EY322" s="18"/>
      <c r="EZ322" s="18"/>
      <c r="FA322" s="18"/>
      <c r="FB322" s="18"/>
      <c r="FC322" s="18"/>
      <c r="FD322" s="18"/>
      <c r="FE322" s="18"/>
      <c r="FF322" s="18"/>
      <c r="FG322" s="18"/>
      <c r="FH322" s="18"/>
      <c r="FI322" s="18"/>
      <c r="FJ322" s="18"/>
      <c r="FK322" s="18"/>
      <c r="FL322" s="18"/>
      <c r="FM322" s="18"/>
      <c r="FN322" s="18"/>
      <c r="FO322" s="18"/>
      <c r="FP322" s="18"/>
      <c r="FQ322" s="18"/>
      <c r="FR322" s="18"/>
      <c r="FS322" s="18"/>
      <c r="FT322" s="18"/>
      <c r="FU322" s="18"/>
      <c r="FV322" s="18"/>
      <c r="FW322" s="18"/>
      <c r="FX322" s="18"/>
      <c r="FY322" s="18"/>
      <c r="FZ322" s="18"/>
      <c r="GA322" s="18"/>
      <c r="GB322" s="18"/>
      <c r="GC322" s="18"/>
      <c r="GD322" s="18"/>
      <c r="GE322" s="18"/>
      <c r="GF322" s="18"/>
      <c r="GG322" s="18"/>
      <c r="GH322" s="18"/>
      <c r="GI322" s="18"/>
      <c r="GJ322" s="18"/>
      <c r="GK322" s="18"/>
      <c r="GL322" s="18"/>
      <c r="GM322" s="18"/>
      <c r="GN322" s="18"/>
      <c r="GO322" s="18"/>
      <c r="GP322" s="18"/>
      <c r="GQ322" s="18"/>
      <c r="GR322" s="18"/>
      <c r="GS322" s="18"/>
      <c r="GT322" s="18"/>
      <c r="GU322" s="18"/>
      <c r="GV322" s="18"/>
      <c r="GW322" s="18"/>
      <c r="GX322" s="18"/>
      <c r="GY322" s="18"/>
      <c r="GZ322" s="18"/>
      <c r="HA322" s="18"/>
      <c r="HB322" s="18"/>
      <c r="HC322" s="18"/>
      <c r="HD322" s="18"/>
      <c r="HE322" s="18"/>
      <c r="HF322" s="18"/>
      <c r="HG322" s="18"/>
      <c r="HH322" s="18"/>
      <c r="HI322" s="18"/>
      <c r="HJ322" s="18"/>
      <c r="HK322" s="18"/>
      <c r="HL322" s="18"/>
      <c r="HM322" s="18"/>
      <c r="HN322" s="18"/>
      <c r="HO322" s="18"/>
      <c r="HP322" s="18"/>
      <c r="HQ322" s="18"/>
      <c r="HR322" s="18"/>
      <c r="HS322" s="18"/>
      <c r="HT322" s="18"/>
      <c r="HU322" s="18"/>
      <c r="HV322" s="18"/>
      <c r="HW322" s="18"/>
      <c r="HX322" s="18"/>
      <c r="HY322" s="18"/>
      <c r="HZ322" s="18"/>
      <c r="IA322" s="18"/>
      <c r="IB322" s="18"/>
      <c r="IC322" s="18"/>
      <c r="ID322" s="18"/>
      <c r="IE322" s="18"/>
      <c r="IF322" s="18"/>
      <c r="IG322" s="18"/>
      <c r="IH322" s="18"/>
      <c r="II322" s="18"/>
      <c r="IJ322" s="18"/>
      <c r="IK322" s="18"/>
      <c r="IL322" s="18"/>
      <c r="IM322" s="18"/>
      <c r="IN322" s="18"/>
      <c r="IO322" s="18"/>
      <c r="IP322" s="18"/>
      <c r="IQ322" s="18"/>
      <c r="IR322" s="18"/>
      <c r="IS322" s="18"/>
      <c r="IT322" s="18"/>
      <c r="IU322" s="18"/>
      <c r="IV322" s="18"/>
    </row>
    <row r="323" spans="1:256" s="64" customFormat="1" ht="12.75" hidden="1" customHeight="1">
      <c r="A323" s="153" t="s">
        <v>122</v>
      </c>
      <c r="B323" s="148" t="s">
        <v>138</v>
      </c>
      <c r="C323" s="154">
        <v>0</v>
      </c>
      <c r="D323" s="154"/>
      <c r="E323" s="154"/>
      <c r="F323" s="154"/>
      <c r="G323" s="154"/>
      <c r="H323" s="154"/>
      <c r="I323" s="154"/>
      <c r="J323" s="154"/>
      <c r="K323" s="154"/>
      <c r="L323" s="154"/>
      <c r="M323" s="155">
        <v>1540</v>
      </c>
      <c r="N323" s="154"/>
      <c r="O323" s="154"/>
      <c r="P323" s="151">
        <f t="shared" si="61"/>
        <v>1540</v>
      </c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  <c r="ES323" s="18"/>
      <c r="ET323" s="18"/>
      <c r="EU323" s="18"/>
      <c r="EV323" s="18"/>
      <c r="EW323" s="18"/>
      <c r="EX323" s="18"/>
      <c r="EY323" s="18"/>
      <c r="EZ323" s="18"/>
      <c r="FA323" s="18"/>
      <c r="FB323" s="18"/>
      <c r="FC323" s="18"/>
      <c r="FD323" s="18"/>
      <c r="FE323" s="18"/>
      <c r="FF323" s="18"/>
      <c r="FG323" s="18"/>
      <c r="FH323" s="18"/>
      <c r="FI323" s="18"/>
      <c r="FJ323" s="18"/>
      <c r="FK323" s="18"/>
      <c r="FL323" s="18"/>
      <c r="FM323" s="18"/>
      <c r="FN323" s="18"/>
      <c r="FO323" s="18"/>
      <c r="FP323" s="18"/>
      <c r="FQ323" s="18"/>
      <c r="FR323" s="18"/>
      <c r="FS323" s="18"/>
      <c r="FT323" s="18"/>
      <c r="FU323" s="18"/>
      <c r="FV323" s="18"/>
      <c r="FW323" s="18"/>
      <c r="FX323" s="18"/>
      <c r="FY323" s="18"/>
      <c r="FZ323" s="18"/>
      <c r="GA323" s="18"/>
      <c r="GB323" s="18"/>
      <c r="GC323" s="18"/>
      <c r="GD323" s="18"/>
      <c r="GE323" s="18"/>
      <c r="GF323" s="18"/>
      <c r="GG323" s="18"/>
      <c r="GH323" s="18"/>
      <c r="GI323" s="18"/>
      <c r="GJ323" s="18"/>
      <c r="GK323" s="18"/>
      <c r="GL323" s="18"/>
      <c r="GM323" s="18"/>
      <c r="GN323" s="18"/>
      <c r="GO323" s="18"/>
      <c r="GP323" s="18"/>
      <c r="GQ323" s="18"/>
      <c r="GR323" s="18"/>
      <c r="GS323" s="18"/>
      <c r="GT323" s="18"/>
      <c r="GU323" s="18"/>
      <c r="GV323" s="18"/>
      <c r="GW323" s="18"/>
      <c r="GX323" s="18"/>
      <c r="GY323" s="18"/>
      <c r="GZ323" s="18"/>
      <c r="HA323" s="18"/>
      <c r="HB323" s="18"/>
      <c r="HC323" s="18"/>
      <c r="HD323" s="18"/>
      <c r="HE323" s="18"/>
      <c r="HF323" s="18"/>
      <c r="HG323" s="18"/>
      <c r="HH323" s="18"/>
      <c r="HI323" s="18"/>
      <c r="HJ323" s="18"/>
      <c r="HK323" s="18"/>
      <c r="HL323" s="18"/>
      <c r="HM323" s="18"/>
      <c r="HN323" s="18"/>
      <c r="HO323" s="18"/>
      <c r="HP323" s="18"/>
      <c r="HQ323" s="18"/>
      <c r="HR323" s="18"/>
      <c r="HS323" s="18"/>
      <c r="HT323" s="18"/>
      <c r="HU323" s="18"/>
      <c r="HV323" s="18"/>
      <c r="HW323" s="18"/>
      <c r="HX323" s="18"/>
      <c r="HY323" s="18"/>
      <c r="HZ323" s="18"/>
      <c r="IA323" s="18"/>
      <c r="IB323" s="18"/>
      <c r="IC323" s="18"/>
      <c r="ID323" s="18"/>
      <c r="IE323" s="18"/>
      <c r="IF323" s="18"/>
      <c r="IG323" s="18"/>
      <c r="IH323" s="18"/>
      <c r="II323" s="18"/>
      <c r="IJ323" s="18"/>
      <c r="IK323" s="18"/>
      <c r="IL323" s="18"/>
      <c r="IM323" s="18"/>
      <c r="IN323" s="18"/>
      <c r="IO323" s="18"/>
      <c r="IP323" s="18"/>
      <c r="IQ323" s="18"/>
      <c r="IR323" s="18"/>
      <c r="IS323" s="18"/>
      <c r="IT323" s="18"/>
      <c r="IU323" s="18"/>
      <c r="IV323" s="18"/>
    </row>
    <row r="324" spans="1:256" s="64" customFormat="1" ht="12.75" hidden="1" customHeight="1">
      <c r="A324" s="153" t="s">
        <v>122</v>
      </c>
      <c r="B324" s="148" t="s">
        <v>145</v>
      </c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5"/>
      <c r="N324" s="154"/>
      <c r="O324" s="154"/>
      <c r="P324" s="151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  <c r="ES324" s="18"/>
      <c r="ET324" s="18"/>
      <c r="EU324" s="18"/>
      <c r="EV324" s="18"/>
      <c r="EW324" s="18"/>
      <c r="EX324" s="18"/>
      <c r="EY324" s="18"/>
      <c r="EZ324" s="18"/>
      <c r="FA324" s="18"/>
      <c r="FB324" s="18"/>
      <c r="FC324" s="18"/>
      <c r="FD324" s="18"/>
      <c r="FE324" s="18"/>
      <c r="FF324" s="18"/>
      <c r="FG324" s="18"/>
      <c r="FH324" s="18"/>
      <c r="FI324" s="18"/>
      <c r="FJ324" s="18"/>
      <c r="FK324" s="18"/>
      <c r="FL324" s="18"/>
      <c r="FM324" s="18"/>
      <c r="FN324" s="18"/>
      <c r="FO324" s="18"/>
      <c r="FP324" s="18"/>
      <c r="FQ324" s="18"/>
      <c r="FR324" s="18"/>
      <c r="FS324" s="18"/>
      <c r="FT324" s="18"/>
      <c r="FU324" s="18"/>
      <c r="FV324" s="18"/>
      <c r="FW324" s="18"/>
      <c r="FX324" s="18"/>
      <c r="FY324" s="18"/>
      <c r="FZ324" s="18"/>
      <c r="GA324" s="18"/>
      <c r="GB324" s="18"/>
      <c r="GC324" s="18"/>
      <c r="GD324" s="18"/>
      <c r="GE324" s="18"/>
      <c r="GF324" s="18"/>
      <c r="GG324" s="18"/>
      <c r="GH324" s="18"/>
      <c r="GI324" s="18"/>
      <c r="GJ324" s="18"/>
      <c r="GK324" s="18"/>
      <c r="GL324" s="18"/>
      <c r="GM324" s="18"/>
      <c r="GN324" s="18"/>
      <c r="GO324" s="18"/>
      <c r="GP324" s="18"/>
      <c r="GQ324" s="18"/>
      <c r="GR324" s="18"/>
      <c r="GS324" s="18"/>
      <c r="GT324" s="18"/>
      <c r="GU324" s="18"/>
      <c r="GV324" s="18"/>
      <c r="GW324" s="18"/>
      <c r="GX324" s="18"/>
      <c r="GY324" s="18"/>
      <c r="GZ324" s="18"/>
      <c r="HA324" s="18"/>
      <c r="HB324" s="18"/>
      <c r="HC324" s="18"/>
      <c r="HD324" s="18"/>
      <c r="HE324" s="18"/>
      <c r="HF324" s="18"/>
      <c r="HG324" s="18"/>
      <c r="HH324" s="18"/>
      <c r="HI324" s="18"/>
      <c r="HJ324" s="18"/>
      <c r="HK324" s="18"/>
      <c r="HL324" s="18"/>
      <c r="HM324" s="18"/>
      <c r="HN324" s="18"/>
      <c r="HO324" s="18"/>
      <c r="HP324" s="18"/>
      <c r="HQ324" s="18"/>
      <c r="HR324" s="18"/>
      <c r="HS324" s="18"/>
      <c r="HT324" s="18"/>
      <c r="HU324" s="18"/>
      <c r="HV324" s="18"/>
      <c r="HW324" s="18"/>
      <c r="HX324" s="18"/>
      <c r="HY324" s="18"/>
      <c r="HZ324" s="18"/>
      <c r="IA324" s="18"/>
      <c r="IB324" s="18"/>
      <c r="IC324" s="18"/>
      <c r="ID324" s="18"/>
      <c r="IE324" s="18"/>
      <c r="IF324" s="18"/>
      <c r="IG324" s="18"/>
      <c r="IH324" s="18"/>
      <c r="II324" s="18"/>
      <c r="IJ324" s="18"/>
      <c r="IK324" s="18"/>
      <c r="IL324" s="18"/>
      <c r="IM324" s="18"/>
      <c r="IN324" s="18"/>
      <c r="IO324" s="18"/>
      <c r="IP324" s="18"/>
      <c r="IQ324" s="18"/>
      <c r="IR324" s="18"/>
      <c r="IS324" s="18"/>
      <c r="IT324" s="18"/>
      <c r="IU324" s="18"/>
      <c r="IV324" s="18"/>
    </row>
    <row r="325" spans="1:256" s="64" customFormat="1" ht="12.75" hidden="1" customHeight="1">
      <c r="A325" s="156"/>
      <c r="B325" s="112" t="s">
        <v>177</v>
      </c>
      <c r="C325" s="157">
        <f>SUM(C322:C323)</f>
        <v>0</v>
      </c>
      <c r="D325" s="157">
        <f>SUM(D321:D323)</f>
        <v>0</v>
      </c>
      <c r="E325" s="157">
        <f t="shared" ref="E325:O325" si="62">SUM(E321:E323)</f>
        <v>0</v>
      </c>
      <c r="F325" s="157">
        <f t="shared" si="62"/>
        <v>0</v>
      </c>
      <c r="G325" s="157">
        <f t="shared" si="62"/>
        <v>0</v>
      </c>
      <c r="H325" s="157">
        <f t="shared" si="62"/>
        <v>0</v>
      </c>
      <c r="I325" s="157">
        <f t="shared" si="62"/>
        <v>7000</v>
      </c>
      <c r="J325" s="157">
        <f t="shared" si="62"/>
        <v>7000</v>
      </c>
      <c r="K325" s="157">
        <f t="shared" si="62"/>
        <v>7000</v>
      </c>
      <c r="L325" s="157">
        <f t="shared" si="62"/>
        <v>7000</v>
      </c>
      <c r="M325" s="157">
        <f t="shared" si="62"/>
        <v>10240</v>
      </c>
      <c r="N325" s="157">
        <f t="shared" si="62"/>
        <v>7000</v>
      </c>
      <c r="O325" s="157">
        <f t="shared" si="62"/>
        <v>7000</v>
      </c>
      <c r="P325" s="119">
        <f t="shared" si="61"/>
        <v>52240</v>
      </c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  <c r="ES325" s="18"/>
      <c r="ET325" s="18"/>
      <c r="EU325" s="18"/>
      <c r="EV325" s="18"/>
      <c r="EW325" s="18"/>
      <c r="EX325" s="18"/>
      <c r="EY325" s="18"/>
      <c r="EZ325" s="18"/>
      <c r="FA325" s="18"/>
      <c r="FB325" s="18"/>
      <c r="FC325" s="18"/>
      <c r="FD325" s="18"/>
      <c r="FE325" s="18"/>
      <c r="FF325" s="18"/>
      <c r="FG325" s="18"/>
      <c r="FH325" s="18"/>
      <c r="FI325" s="18"/>
      <c r="FJ325" s="18"/>
      <c r="FK325" s="18"/>
      <c r="FL325" s="18"/>
      <c r="FM325" s="18"/>
      <c r="FN325" s="18"/>
      <c r="FO325" s="18"/>
      <c r="FP325" s="18"/>
      <c r="FQ325" s="18"/>
      <c r="FR325" s="18"/>
      <c r="FS325" s="18"/>
      <c r="FT325" s="18"/>
      <c r="FU325" s="18"/>
      <c r="FV325" s="18"/>
      <c r="FW325" s="18"/>
      <c r="FX325" s="18"/>
      <c r="FY325" s="18"/>
      <c r="FZ325" s="18"/>
      <c r="GA325" s="18"/>
      <c r="GB325" s="18"/>
      <c r="GC325" s="18"/>
      <c r="GD325" s="18"/>
      <c r="GE325" s="18"/>
      <c r="GF325" s="18"/>
      <c r="GG325" s="18"/>
      <c r="GH325" s="18"/>
      <c r="GI325" s="18"/>
      <c r="GJ325" s="18"/>
      <c r="GK325" s="18"/>
      <c r="GL325" s="18"/>
      <c r="GM325" s="18"/>
      <c r="GN325" s="18"/>
      <c r="GO325" s="18"/>
      <c r="GP325" s="18"/>
      <c r="GQ325" s="18"/>
      <c r="GR325" s="18"/>
      <c r="GS325" s="18"/>
      <c r="GT325" s="18"/>
      <c r="GU325" s="18"/>
      <c r="GV325" s="18"/>
      <c r="GW325" s="18"/>
      <c r="GX325" s="18"/>
      <c r="GY325" s="18"/>
      <c r="GZ325" s="18"/>
      <c r="HA325" s="18"/>
      <c r="HB325" s="18"/>
      <c r="HC325" s="18"/>
      <c r="HD325" s="18"/>
      <c r="HE325" s="18"/>
      <c r="HF325" s="18"/>
      <c r="HG325" s="18"/>
      <c r="HH325" s="18"/>
      <c r="HI325" s="18"/>
      <c r="HJ325" s="18"/>
      <c r="HK325" s="18"/>
      <c r="HL325" s="18"/>
      <c r="HM325" s="18"/>
      <c r="HN325" s="18"/>
      <c r="HO325" s="18"/>
      <c r="HP325" s="18"/>
      <c r="HQ325" s="18"/>
      <c r="HR325" s="18"/>
      <c r="HS325" s="18"/>
      <c r="HT325" s="18"/>
      <c r="HU325" s="18"/>
      <c r="HV325" s="18"/>
      <c r="HW325" s="18"/>
      <c r="HX325" s="18"/>
      <c r="HY325" s="18"/>
      <c r="HZ325" s="18"/>
      <c r="IA325" s="18"/>
      <c r="IB325" s="18"/>
      <c r="IC325" s="18"/>
      <c r="ID325" s="18"/>
      <c r="IE325" s="18"/>
      <c r="IF325" s="18"/>
      <c r="IG325" s="18"/>
      <c r="IH325" s="18"/>
      <c r="II325" s="18"/>
      <c r="IJ325" s="18"/>
      <c r="IK325" s="18"/>
      <c r="IL325" s="18"/>
      <c r="IM325" s="18"/>
      <c r="IN325" s="18"/>
      <c r="IO325" s="18"/>
      <c r="IP325" s="18"/>
      <c r="IQ325" s="18"/>
      <c r="IR325" s="18"/>
      <c r="IS325" s="18"/>
      <c r="IT325" s="18"/>
      <c r="IU325" s="18"/>
      <c r="IV325" s="18"/>
    </row>
    <row r="326" spans="1:256" ht="12.75" hidden="1" customHeight="1">
      <c r="A326" s="919" t="s">
        <v>223</v>
      </c>
      <c r="B326" s="920"/>
      <c r="C326" s="920"/>
      <c r="D326" s="920"/>
      <c r="E326" s="920"/>
      <c r="F326" s="920"/>
      <c r="G326" s="920"/>
      <c r="H326" s="920"/>
      <c r="I326" s="920"/>
      <c r="J326" s="920"/>
      <c r="K326" s="920"/>
      <c r="L326" s="920"/>
      <c r="M326" s="920"/>
      <c r="N326" s="920"/>
      <c r="O326" s="920"/>
      <c r="P326" s="921"/>
    </row>
    <row r="327" spans="1:256" ht="12.75" hidden="1" customHeight="1">
      <c r="A327" s="913" t="s">
        <v>149</v>
      </c>
      <c r="B327" s="914"/>
      <c r="C327" s="914"/>
      <c r="D327" s="914"/>
      <c r="E327" s="914"/>
      <c r="F327" s="914"/>
      <c r="G327" s="914"/>
      <c r="H327" s="914"/>
      <c r="I327" s="914"/>
      <c r="J327" s="914"/>
      <c r="K327" s="914"/>
      <c r="L327" s="914"/>
      <c r="M327" s="914"/>
      <c r="N327" s="914"/>
      <c r="O327" s="914"/>
      <c r="P327" s="915"/>
    </row>
    <row r="328" spans="1:256" ht="12.75" hidden="1" customHeight="1">
      <c r="A328" s="826"/>
      <c r="B328" s="158" t="s">
        <v>177</v>
      </c>
      <c r="C328" s="159">
        <f t="shared" ref="C328:O328" si="63">SUM(C340)</f>
        <v>0</v>
      </c>
      <c r="D328" s="159">
        <f t="shared" si="63"/>
        <v>0</v>
      </c>
      <c r="E328" s="159">
        <f t="shared" si="63"/>
        <v>0</v>
      </c>
      <c r="F328" s="159">
        <f t="shared" si="63"/>
        <v>0</v>
      </c>
      <c r="G328" s="159">
        <f t="shared" si="63"/>
        <v>0</v>
      </c>
      <c r="H328" s="159">
        <f t="shared" si="63"/>
        <v>0</v>
      </c>
      <c r="I328" s="159">
        <f t="shared" si="63"/>
        <v>0</v>
      </c>
      <c r="J328" s="159">
        <f t="shared" si="63"/>
        <v>0</v>
      </c>
      <c r="K328" s="159">
        <f t="shared" si="63"/>
        <v>0</v>
      </c>
      <c r="L328" s="159">
        <f t="shared" si="63"/>
        <v>0</v>
      </c>
      <c r="M328" s="159">
        <f t="shared" si="63"/>
        <v>0</v>
      </c>
      <c r="N328" s="159">
        <f t="shared" si="63"/>
        <v>0</v>
      </c>
      <c r="O328" s="159">
        <f t="shared" si="63"/>
        <v>0</v>
      </c>
      <c r="P328" s="53">
        <f>SUM(C328:O328)</f>
        <v>0</v>
      </c>
    </row>
    <row r="329" spans="1:256" ht="12.75" hidden="1" customHeight="1">
      <c r="A329" s="913" t="s">
        <v>224</v>
      </c>
      <c r="B329" s="914"/>
      <c r="C329" s="914"/>
      <c r="D329" s="914"/>
      <c r="E329" s="914"/>
      <c r="F329" s="914"/>
      <c r="G329" s="914"/>
      <c r="H329" s="914"/>
      <c r="I329" s="914"/>
      <c r="J329" s="914"/>
      <c r="K329" s="914"/>
      <c r="L329" s="914"/>
      <c r="M329" s="914"/>
      <c r="N329" s="914"/>
      <c r="O329" s="914"/>
      <c r="P329" s="915"/>
    </row>
    <row r="330" spans="1:256" ht="12.75" hidden="1" customHeight="1">
      <c r="A330" s="94" t="s">
        <v>122</v>
      </c>
      <c r="B330" s="95" t="s">
        <v>150</v>
      </c>
      <c r="C330" s="54"/>
      <c r="D330" s="52"/>
      <c r="E330" s="52"/>
      <c r="F330" s="98">
        <f>737.38</f>
        <v>737.38</v>
      </c>
      <c r="G330" s="98">
        <f>540.68</f>
        <v>540.67999999999995</v>
      </c>
      <c r="H330" s="98">
        <f>829.98+1330.54</f>
        <v>2160.52</v>
      </c>
      <c r="I330" s="97">
        <f>811.76+339.26</f>
        <v>1151.02</v>
      </c>
      <c r="J330" s="140">
        <f>1333.5+1673.63</f>
        <v>3007.13</v>
      </c>
      <c r="K330" s="97">
        <f>756+1876.7</f>
        <v>2632.7</v>
      </c>
      <c r="L330" s="140">
        <v>1130.1500000000001</v>
      </c>
      <c r="M330" s="98"/>
      <c r="N330" s="97">
        <f>9.17+753.02+1579.41</f>
        <v>2341.6</v>
      </c>
      <c r="O330" s="97">
        <v>1171.3499999999999</v>
      </c>
      <c r="P330" s="98">
        <f>SUM(D330:O330)</f>
        <v>14872.53</v>
      </c>
    </row>
    <row r="331" spans="1:256" ht="12.75" hidden="1" customHeight="1">
      <c r="A331" s="94" t="s">
        <v>122</v>
      </c>
      <c r="B331" s="95" t="s">
        <v>225</v>
      </c>
      <c r="C331" s="54"/>
      <c r="D331" s="52"/>
      <c r="E331" s="52"/>
      <c r="F331" s="98">
        <v>2553.37</v>
      </c>
      <c r="G331" s="98">
        <f>2407.74+807.16</f>
        <v>3214.8999999999996</v>
      </c>
      <c r="H331" s="98"/>
      <c r="I331" s="97">
        <v>1126.81</v>
      </c>
      <c r="J331" s="140">
        <v>1126.79</v>
      </c>
      <c r="K331" s="97">
        <v>1014.55</v>
      </c>
      <c r="L331" s="140">
        <v>79.680000000000007</v>
      </c>
      <c r="M331" s="98"/>
      <c r="N331" s="97"/>
      <c r="O331" s="97">
        <v>364.88</v>
      </c>
      <c r="P331" s="98">
        <f>SUM(D331:O331)</f>
        <v>9480.98</v>
      </c>
    </row>
    <row r="332" spans="1:256" ht="12.75" hidden="1" customHeight="1">
      <c r="A332" s="94" t="s">
        <v>122</v>
      </c>
      <c r="B332" s="53" t="s">
        <v>151</v>
      </c>
      <c r="C332" s="54"/>
      <c r="D332" s="52"/>
      <c r="E332" s="52"/>
      <c r="F332" s="98">
        <v>2711.57</v>
      </c>
      <c r="G332" s="98"/>
      <c r="H332" s="98"/>
      <c r="I332" s="97">
        <v>5000</v>
      </c>
      <c r="J332" s="140">
        <f>3879.09+279.49</f>
        <v>4158.58</v>
      </c>
      <c r="K332" s="127">
        <v>7971.36</v>
      </c>
      <c r="L332" s="140">
        <v>615.84</v>
      </c>
      <c r="M332" s="97">
        <f>6000+2000</f>
        <v>8000</v>
      </c>
      <c r="N332" s="97">
        <v>3222.99</v>
      </c>
      <c r="O332" s="98"/>
      <c r="P332" s="98">
        <f>SUM(D332:O332)</f>
        <v>31680.339999999997</v>
      </c>
    </row>
    <row r="333" spans="1:256" ht="12.75" hidden="1" customHeight="1">
      <c r="A333" s="826"/>
      <c r="B333" s="160"/>
      <c r="C333" s="142">
        <f>SUM(C330:C332)</f>
        <v>0</v>
      </c>
      <c r="D333" s="142">
        <f t="shared" ref="D333:O333" si="64">SUM(D330:D332)</f>
        <v>0</v>
      </c>
      <c r="E333" s="142">
        <f t="shared" si="64"/>
        <v>0</v>
      </c>
      <c r="F333" s="142">
        <f t="shared" si="64"/>
        <v>6002.32</v>
      </c>
      <c r="G333" s="142">
        <f t="shared" si="64"/>
        <v>3755.5799999999995</v>
      </c>
      <c r="H333" s="142">
        <f t="shared" si="64"/>
        <v>2160.52</v>
      </c>
      <c r="I333" s="142">
        <f t="shared" si="64"/>
        <v>7277.83</v>
      </c>
      <c r="J333" s="142">
        <f t="shared" si="64"/>
        <v>8292.5</v>
      </c>
      <c r="K333" s="142">
        <f t="shared" si="64"/>
        <v>11618.61</v>
      </c>
      <c r="L333" s="142">
        <f t="shared" si="64"/>
        <v>1825.67</v>
      </c>
      <c r="M333" s="142">
        <f t="shared" si="64"/>
        <v>8000</v>
      </c>
      <c r="N333" s="142">
        <f t="shared" si="64"/>
        <v>5564.59</v>
      </c>
      <c r="O333" s="142">
        <f t="shared" si="64"/>
        <v>1536.23</v>
      </c>
      <c r="P333" s="98">
        <f>SUM(D333:O333)</f>
        <v>56033.85</v>
      </c>
    </row>
    <row r="334" spans="1:256" ht="12.75" hidden="1" customHeight="1">
      <c r="A334" s="913" t="s">
        <v>149</v>
      </c>
      <c r="B334" s="923"/>
      <c r="C334" s="923"/>
      <c r="D334" s="923"/>
      <c r="E334" s="923"/>
      <c r="F334" s="923"/>
      <c r="G334" s="923"/>
      <c r="H334" s="923"/>
      <c r="I334" s="923"/>
      <c r="J334" s="923"/>
      <c r="K334" s="923"/>
      <c r="L334" s="923"/>
      <c r="M334" s="923"/>
      <c r="N334" s="923"/>
      <c r="O334" s="923"/>
      <c r="P334" s="924"/>
    </row>
    <row r="335" spans="1:256" ht="12.75" hidden="1" customHeight="1">
      <c r="A335" s="161" t="s">
        <v>122</v>
      </c>
      <c r="B335" s="148" t="s">
        <v>226</v>
      </c>
      <c r="C335" s="147"/>
      <c r="D335" s="147"/>
      <c r="E335" s="147"/>
      <c r="F335" s="147"/>
      <c r="G335" s="147"/>
      <c r="H335" s="147"/>
      <c r="I335" s="147"/>
      <c r="J335" s="147"/>
      <c r="K335" s="147"/>
      <c r="L335" s="147"/>
      <c r="M335" s="147"/>
      <c r="N335" s="150">
        <f>47600+4760</f>
        <v>52360</v>
      </c>
      <c r="O335" s="147"/>
      <c r="P335" s="150">
        <f>SUM(C335:O335)</f>
        <v>52360</v>
      </c>
    </row>
    <row r="336" spans="1:256" ht="12.75" hidden="1" customHeight="1">
      <c r="A336" s="162" t="s">
        <v>122</v>
      </c>
      <c r="B336" s="163" t="s">
        <v>227</v>
      </c>
      <c r="C336" s="117"/>
      <c r="D336" s="164"/>
      <c r="E336" s="164"/>
      <c r="F336" s="118">
        <v>760</v>
      </c>
      <c r="G336" s="118"/>
      <c r="H336" s="118"/>
      <c r="I336" s="118"/>
      <c r="J336" s="117"/>
      <c r="K336" s="165"/>
      <c r="L336" s="117"/>
      <c r="M336" s="118"/>
      <c r="N336" s="118">
        <v>10000</v>
      </c>
      <c r="O336" s="118">
        <v>12360</v>
      </c>
      <c r="P336" s="118">
        <f>SUM(C336:O336)</f>
        <v>23120</v>
      </c>
    </row>
    <row r="337" spans="1:16" ht="12.75" hidden="1" customHeight="1">
      <c r="A337" s="126" t="s">
        <v>122</v>
      </c>
      <c r="B337" s="53" t="s">
        <v>228</v>
      </c>
      <c r="C337" s="54"/>
      <c r="D337" s="96">
        <f>1000000/270</f>
        <v>3703.7037037037039</v>
      </c>
      <c r="E337" s="96">
        <f>1000000/270</f>
        <v>3703.7037037037039</v>
      </c>
      <c r="F337" s="97">
        <f>1000000/240</f>
        <v>4166.666666666667</v>
      </c>
      <c r="G337" s="97">
        <f>1000000/240</f>
        <v>4166.666666666667</v>
      </c>
      <c r="H337" s="97">
        <f>1000000/245</f>
        <v>4081.6326530612246</v>
      </c>
      <c r="I337" s="97">
        <f>1000000/240</f>
        <v>4166.666666666667</v>
      </c>
      <c r="J337" s="97">
        <f>1000000/240</f>
        <v>4166.666666666667</v>
      </c>
      <c r="K337" s="97">
        <f>1000000/180</f>
        <v>5555.5555555555557</v>
      </c>
      <c r="L337" s="98">
        <f>1000000/240</f>
        <v>4166.666666666667</v>
      </c>
      <c r="M337" s="98">
        <f>1000000/240</f>
        <v>4166.666666666667</v>
      </c>
      <c r="N337" s="98">
        <f>1000000/240</f>
        <v>4166.666666666667</v>
      </c>
      <c r="O337" s="98">
        <f>1000000/240</f>
        <v>4166.666666666667</v>
      </c>
      <c r="P337" s="98">
        <f t="shared" ref="P337:P343" si="65">SUM(C337:O337)</f>
        <v>50377.928949357512</v>
      </c>
    </row>
    <row r="338" spans="1:16" ht="12.75" hidden="1" customHeight="1">
      <c r="A338" s="162" t="s">
        <v>122</v>
      </c>
      <c r="B338" s="61" t="s">
        <v>229</v>
      </c>
      <c r="C338" s="122"/>
      <c r="D338" s="166"/>
      <c r="E338" s="166"/>
      <c r="F338" s="125"/>
      <c r="G338" s="125"/>
      <c r="H338" s="125"/>
      <c r="I338" s="125">
        <f>500+500</f>
        <v>1000</v>
      </c>
      <c r="J338" s="122"/>
      <c r="K338" s="167"/>
      <c r="L338" s="122"/>
      <c r="M338" s="125"/>
      <c r="N338" s="124">
        <v>2000</v>
      </c>
      <c r="O338" s="125">
        <v>2000</v>
      </c>
      <c r="P338" s="125">
        <f t="shared" si="65"/>
        <v>5000</v>
      </c>
    </row>
    <row r="339" spans="1:16" ht="12.75" hidden="1" customHeight="1">
      <c r="A339" s="126" t="s">
        <v>122</v>
      </c>
      <c r="B339" s="53" t="s">
        <v>230</v>
      </c>
      <c r="C339" s="54"/>
      <c r="D339" s="52"/>
      <c r="E339" s="52"/>
      <c r="F339" s="98"/>
      <c r="G339" s="98"/>
      <c r="H339" s="98">
        <v>100</v>
      </c>
      <c r="I339" s="98"/>
      <c r="J339" s="54"/>
      <c r="K339" s="168"/>
      <c r="L339" s="54"/>
      <c r="M339" s="98"/>
      <c r="N339" s="98"/>
      <c r="O339" s="98"/>
      <c r="P339" s="98">
        <f t="shared" si="65"/>
        <v>100</v>
      </c>
    </row>
    <row r="340" spans="1:16" ht="12.75" hidden="1" customHeight="1">
      <c r="A340" s="94" t="s">
        <v>122</v>
      </c>
      <c r="B340" s="169" t="s">
        <v>231</v>
      </c>
      <c r="C340" s="53"/>
      <c r="D340" s="55"/>
      <c r="E340" s="55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>
        <f>SUM(C340:O340)</f>
        <v>0</v>
      </c>
    </row>
    <row r="341" spans="1:16" ht="12.75" hidden="1" customHeight="1">
      <c r="A341" s="126"/>
      <c r="B341" s="53" t="s">
        <v>177</v>
      </c>
      <c r="C341" s="54"/>
      <c r="D341" s="52"/>
      <c r="E341" s="52"/>
      <c r="F341" s="98"/>
      <c r="G341" s="98"/>
      <c r="H341" s="98"/>
      <c r="I341" s="98"/>
      <c r="J341" s="54"/>
      <c r="K341" s="168"/>
      <c r="L341" s="54"/>
      <c r="M341" s="98"/>
      <c r="N341" s="98"/>
      <c r="O341" s="98"/>
      <c r="P341" s="98"/>
    </row>
    <row r="342" spans="1:16" ht="12.75" hidden="1" customHeight="1">
      <c r="A342" s="916" t="s">
        <v>25</v>
      </c>
      <c r="B342" s="917"/>
      <c r="C342" s="917"/>
      <c r="D342" s="917"/>
      <c r="E342" s="917"/>
      <c r="F342" s="917"/>
      <c r="G342" s="917"/>
      <c r="H342" s="917"/>
      <c r="I342" s="917"/>
      <c r="J342" s="917"/>
      <c r="K342" s="917"/>
      <c r="L342" s="917"/>
      <c r="M342" s="917"/>
      <c r="N342" s="917"/>
      <c r="O342" s="917"/>
      <c r="P342" s="918"/>
    </row>
    <row r="343" spans="1:16" ht="12.75" hidden="1" customHeight="1">
      <c r="A343" s="126" t="s">
        <v>122</v>
      </c>
      <c r="B343" s="53" t="s">
        <v>202</v>
      </c>
      <c r="C343" s="54"/>
      <c r="D343" s="52"/>
      <c r="E343" s="52"/>
      <c r="F343" s="98"/>
      <c r="G343" s="98"/>
      <c r="H343" s="98"/>
      <c r="I343" s="98"/>
      <c r="J343" s="140">
        <f>20000+10000</f>
        <v>30000</v>
      </c>
      <c r="K343" s="168"/>
      <c r="L343" s="54">
        <v>5000</v>
      </c>
      <c r="M343" s="98"/>
      <c r="N343" s="98"/>
      <c r="O343" s="97">
        <v>20000</v>
      </c>
      <c r="P343" s="98">
        <f t="shared" si="65"/>
        <v>55000</v>
      </c>
    </row>
    <row r="344" spans="1:16" ht="12.75" hidden="1" customHeight="1">
      <c r="A344" s="906" t="s">
        <v>232</v>
      </c>
      <c r="B344" s="906"/>
      <c r="C344" s="906"/>
      <c r="D344" s="906"/>
      <c r="E344" s="906"/>
      <c r="F344" s="906"/>
      <c r="G344" s="906"/>
      <c r="H344" s="906"/>
      <c r="I344" s="906"/>
      <c r="J344" s="906"/>
      <c r="K344" s="906"/>
      <c r="L344" s="906"/>
      <c r="M344" s="906"/>
      <c r="N344" s="906"/>
      <c r="O344" s="906"/>
      <c r="P344" s="906"/>
    </row>
    <row r="345" spans="1:16" ht="12.75" hidden="1" customHeight="1">
      <c r="A345" s="126"/>
      <c r="B345" s="53" t="s">
        <v>204</v>
      </c>
      <c r="C345" s="54"/>
      <c r="D345" s="52">
        <f>SUM(D273:D286)</f>
        <v>16590</v>
      </c>
      <c r="E345" s="52">
        <f t="shared" ref="E345:P345" si="66">SUM(E273:E286)</f>
        <v>16590</v>
      </c>
      <c r="F345" s="52">
        <f t="shared" si="66"/>
        <v>16590</v>
      </c>
      <c r="G345" s="52">
        <f t="shared" si="66"/>
        <v>16590</v>
      </c>
      <c r="H345" s="52">
        <f t="shared" si="66"/>
        <v>12890</v>
      </c>
      <c r="I345" s="52">
        <f t="shared" si="66"/>
        <v>12840</v>
      </c>
      <c r="J345" s="52">
        <f t="shared" si="66"/>
        <v>11490</v>
      </c>
      <c r="K345" s="52">
        <f t="shared" si="66"/>
        <v>14600</v>
      </c>
      <c r="L345" s="52">
        <f t="shared" si="66"/>
        <v>14600</v>
      </c>
      <c r="M345" s="52">
        <f t="shared" si="66"/>
        <v>14600</v>
      </c>
      <c r="N345" s="52">
        <f t="shared" si="66"/>
        <v>10600</v>
      </c>
      <c r="O345" s="52">
        <f t="shared" si="66"/>
        <v>8650</v>
      </c>
      <c r="P345" s="52">
        <f t="shared" si="66"/>
        <v>166630</v>
      </c>
    </row>
    <row r="346" spans="1:16" ht="12.75" hidden="1" customHeight="1">
      <c r="A346" s="126"/>
      <c r="B346" s="53" t="s">
        <v>188</v>
      </c>
      <c r="C346" s="54"/>
      <c r="D346" s="52">
        <f>D290</f>
        <v>56079.17</v>
      </c>
      <c r="E346" s="52">
        <f t="shared" ref="E346:P346" si="67">E290</f>
        <v>67424.899999999994</v>
      </c>
      <c r="F346" s="52">
        <f t="shared" si="67"/>
        <v>35216.450000000004</v>
      </c>
      <c r="G346" s="52">
        <f t="shared" si="67"/>
        <v>75288.56</v>
      </c>
      <c r="H346" s="52">
        <f t="shared" si="67"/>
        <v>23390.69</v>
      </c>
      <c r="I346" s="52">
        <f t="shared" si="67"/>
        <v>58460.42</v>
      </c>
      <c r="J346" s="52">
        <f t="shared" si="67"/>
        <v>46734.8</v>
      </c>
      <c r="K346" s="52">
        <f t="shared" si="67"/>
        <v>70162.740000000005</v>
      </c>
      <c r="L346" s="52">
        <f t="shared" si="67"/>
        <v>46762.74</v>
      </c>
      <c r="M346" s="52">
        <f t="shared" si="67"/>
        <v>46899.31</v>
      </c>
      <c r="N346" s="52">
        <f t="shared" si="67"/>
        <v>54269.29</v>
      </c>
      <c r="O346" s="52">
        <f t="shared" si="67"/>
        <v>86416.8</v>
      </c>
      <c r="P346" s="52">
        <f t="shared" si="67"/>
        <v>667105.87000000011</v>
      </c>
    </row>
    <row r="347" spans="1:16" ht="12.75" hidden="1" customHeight="1">
      <c r="A347" s="126"/>
      <c r="B347" s="53" t="s">
        <v>209</v>
      </c>
      <c r="C347" s="54"/>
      <c r="D347" s="52">
        <f>SUM(D292:D299)</f>
        <v>44045.53</v>
      </c>
      <c r="E347" s="52">
        <f>SUM(E292:E299)</f>
        <v>43745.53</v>
      </c>
      <c r="F347" s="52">
        <f>SUM(F292:F299)</f>
        <v>44345.53</v>
      </c>
      <c r="G347" s="52">
        <f>SUM(G292:G299)</f>
        <v>43333.45</v>
      </c>
      <c r="H347" s="52">
        <f t="shared" ref="H347:O347" si="68">SUM(H292:H299)</f>
        <v>43315.53</v>
      </c>
      <c r="I347" s="52">
        <f t="shared" si="68"/>
        <v>54619.65</v>
      </c>
      <c r="J347" s="52">
        <f t="shared" si="68"/>
        <v>42296.95</v>
      </c>
      <c r="K347" s="52">
        <f t="shared" si="68"/>
        <v>42596.95</v>
      </c>
      <c r="L347" s="52">
        <f t="shared" si="68"/>
        <v>42406.95</v>
      </c>
      <c r="M347" s="52">
        <f t="shared" si="68"/>
        <v>45084.070000000007</v>
      </c>
      <c r="N347" s="52">
        <f t="shared" si="68"/>
        <v>46584.070000000007</v>
      </c>
      <c r="O347" s="52">
        <f t="shared" si="68"/>
        <v>63047.105000000003</v>
      </c>
      <c r="P347" s="52">
        <f>SUM(P292:P299)</f>
        <v>555421.31499999994</v>
      </c>
    </row>
    <row r="348" spans="1:16" ht="12.75" hidden="1" customHeight="1">
      <c r="A348" s="829"/>
      <c r="B348" s="60"/>
      <c r="C348" s="114"/>
      <c r="D348" s="170"/>
      <c r="E348" s="170"/>
      <c r="F348" s="119"/>
      <c r="G348" s="119"/>
      <c r="H348" s="119"/>
      <c r="I348" s="119"/>
      <c r="J348" s="114"/>
      <c r="K348" s="171"/>
      <c r="L348" s="114"/>
      <c r="M348" s="119"/>
      <c r="N348" s="119"/>
      <c r="O348" s="119"/>
      <c r="P348" s="119"/>
    </row>
    <row r="349" spans="1:16" ht="12.75" customHeight="1">
      <c r="A349" s="661" t="s">
        <v>105</v>
      </c>
      <c r="B349" s="662" t="s">
        <v>184</v>
      </c>
      <c r="C349" s="663"/>
      <c r="D349" s="664">
        <f>SUM(D345:D347)</f>
        <v>116714.7</v>
      </c>
      <c r="E349" s="664">
        <f t="shared" ref="E349:O349" si="69">SUM(E345:E347)</f>
        <v>127760.43</v>
      </c>
      <c r="F349" s="664">
        <f t="shared" si="69"/>
        <v>96151.98000000001</v>
      </c>
      <c r="G349" s="664">
        <f t="shared" si="69"/>
        <v>135212.01</v>
      </c>
      <c r="H349" s="664">
        <f t="shared" si="69"/>
        <v>79596.22</v>
      </c>
      <c r="I349" s="664">
        <f t="shared" si="69"/>
        <v>125920.07</v>
      </c>
      <c r="J349" s="664">
        <f t="shared" si="69"/>
        <v>100521.75</v>
      </c>
      <c r="K349" s="664">
        <f t="shared" si="69"/>
        <v>127359.69</v>
      </c>
      <c r="L349" s="664">
        <f t="shared" si="69"/>
        <v>103769.69</v>
      </c>
      <c r="M349" s="664">
        <f t="shared" si="69"/>
        <v>106583.38</v>
      </c>
      <c r="N349" s="664">
        <f t="shared" si="69"/>
        <v>111453.36000000002</v>
      </c>
      <c r="O349" s="664">
        <f t="shared" si="69"/>
        <v>158113.905</v>
      </c>
      <c r="P349" s="664">
        <f>SUM(P345:P347)</f>
        <v>1389157.1850000001</v>
      </c>
    </row>
    <row r="350" spans="1:16" ht="12.75" customHeight="1">
      <c r="A350" s="661" t="s">
        <v>122</v>
      </c>
      <c r="B350" s="662" t="s">
        <v>185</v>
      </c>
      <c r="C350" s="663"/>
      <c r="D350" s="664">
        <f>SUM(D310:D338)</f>
        <v>10034.713703703703</v>
      </c>
      <c r="E350" s="664">
        <f t="shared" ref="E350:P350" si="70">SUM(E310:E338)</f>
        <v>9830.6237037037045</v>
      </c>
      <c r="F350" s="664">
        <f t="shared" si="70"/>
        <v>17432.206666666665</v>
      </c>
      <c r="G350" s="664">
        <f t="shared" si="70"/>
        <v>12564.226666666666</v>
      </c>
      <c r="H350" s="664">
        <f t="shared" si="70"/>
        <v>10503.732653061224</v>
      </c>
      <c r="I350" s="664">
        <f t="shared" si="70"/>
        <v>35517.836666666662</v>
      </c>
      <c r="J350" s="664">
        <f t="shared" si="70"/>
        <v>39290.846666666665</v>
      </c>
      <c r="K350" s="664">
        <f t="shared" si="70"/>
        <v>46228.805555555555</v>
      </c>
      <c r="L350" s="664">
        <f t="shared" si="70"/>
        <v>25898.576666666671</v>
      </c>
      <c r="M350" s="664">
        <f t="shared" si="70"/>
        <v>44280.39666666666</v>
      </c>
      <c r="N350" s="664">
        <f t="shared" si="70"/>
        <v>97925.026666666672</v>
      </c>
      <c r="O350" s="664">
        <f t="shared" si="70"/>
        <v>37892.376666666663</v>
      </c>
      <c r="P350" s="664">
        <f t="shared" si="70"/>
        <v>387399.36894935754</v>
      </c>
    </row>
    <row r="351" spans="1:16" ht="12.75" customHeight="1">
      <c r="A351" s="661" t="s">
        <v>78</v>
      </c>
      <c r="B351" s="662" t="s">
        <v>89</v>
      </c>
      <c r="C351" s="663"/>
      <c r="D351" s="664">
        <f t="shared" ref="D351:P351" si="71">D349-D350</f>
        <v>106679.98629629629</v>
      </c>
      <c r="E351" s="664">
        <f t="shared" si="71"/>
        <v>117929.80629629629</v>
      </c>
      <c r="F351" s="664">
        <f t="shared" si="71"/>
        <v>78719.773333333345</v>
      </c>
      <c r="G351" s="664">
        <f t="shared" si="71"/>
        <v>122647.78333333334</v>
      </c>
      <c r="H351" s="664">
        <f t="shared" si="71"/>
        <v>69092.487346938782</v>
      </c>
      <c r="I351" s="664">
        <f t="shared" si="71"/>
        <v>90402.233333333337</v>
      </c>
      <c r="J351" s="664">
        <f t="shared" si="71"/>
        <v>61230.903333333335</v>
      </c>
      <c r="K351" s="664">
        <f t="shared" si="71"/>
        <v>81130.88444444444</v>
      </c>
      <c r="L351" s="664">
        <f t="shared" si="71"/>
        <v>77871.113333333327</v>
      </c>
      <c r="M351" s="664">
        <f t="shared" si="71"/>
        <v>62302.983333333344</v>
      </c>
      <c r="N351" s="664">
        <f t="shared" si="71"/>
        <v>13528.333333333343</v>
      </c>
      <c r="O351" s="664">
        <f t="shared" si="71"/>
        <v>120221.52833333334</v>
      </c>
      <c r="P351" s="664">
        <f t="shared" si="71"/>
        <v>1001757.8160506425</v>
      </c>
    </row>
  </sheetData>
  <mergeCells count="40">
    <mergeCell ref="A264:P264"/>
    <mergeCell ref="A66:A67"/>
    <mergeCell ref="A334:P334"/>
    <mergeCell ref="A28:A29"/>
    <mergeCell ref="A58:A59"/>
    <mergeCell ref="A60:A61"/>
    <mergeCell ref="A64:A65"/>
    <mergeCell ref="A62:A63"/>
    <mergeCell ref="A68:A69"/>
    <mergeCell ref="A30:A31"/>
    <mergeCell ref="A70:A71"/>
    <mergeCell ref="A32:A33"/>
    <mergeCell ref="A344:P344"/>
    <mergeCell ref="A301:P301"/>
    <mergeCell ref="A272:P272"/>
    <mergeCell ref="A289:P289"/>
    <mergeCell ref="A291:P291"/>
    <mergeCell ref="A309:P309"/>
    <mergeCell ref="A304:P304"/>
    <mergeCell ref="A329:P329"/>
    <mergeCell ref="A342:P342"/>
    <mergeCell ref="A327:P327"/>
    <mergeCell ref="A326:P326"/>
    <mergeCell ref="A320:P320"/>
    <mergeCell ref="A13:P13"/>
    <mergeCell ref="A270:P270"/>
    <mergeCell ref="A189:P189"/>
    <mergeCell ref="A252:P252"/>
    <mergeCell ref="A110:P110"/>
    <mergeCell ref="A169:P169"/>
    <mergeCell ref="A174:P174"/>
    <mergeCell ref="A112:P112"/>
    <mergeCell ref="A185:P185"/>
    <mergeCell ref="A15:P15"/>
    <mergeCell ref="A247:P247"/>
    <mergeCell ref="A106:P106"/>
    <mergeCell ref="A96:P96"/>
    <mergeCell ref="A91:P91"/>
    <mergeCell ref="A43:P43"/>
    <mergeCell ref="A45:P45"/>
  </mergeCells>
  <phoneticPr fontId="18" type="noConversion"/>
  <pageMargins left="0" right="0" top="0" bottom="0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A046E-63D9-421D-969E-E10C82B6E788}">
  <dimension ref="A1:G10"/>
  <sheetViews>
    <sheetView workbookViewId="0">
      <selection activeCell="E18" sqref="E18"/>
    </sheetView>
  </sheetViews>
  <sheetFormatPr defaultColWidth="9.140625" defaultRowHeight="15.75"/>
  <cols>
    <col min="1" max="1" width="11" style="779" bestFit="1" customWidth="1"/>
    <col min="2" max="3" width="8.42578125" style="779" bestFit="1" customWidth="1"/>
    <col min="4" max="4" width="10.140625" style="779" bestFit="1" customWidth="1"/>
    <col min="5" max="5" width="8.42578125" style="779" bestFit="1" customWidth="1"/>
    <col min="6" max="6" width="10.7109375" style="779" bestFit="1" customWidth="1"/>
    <col min="7" max="7" width="9.5703125" style="779" bestFit="1" customWidth="1"/>
    <col min="8" max="16384" width="9.140625" style="779"/>
  </cols>
  <sheetData>
    <row r="1" spans="1:7">
      <c r="A1" s="839"/>
      <c r="B1" s="839" t="s">
        <v>233</v>
      </c>
      <c r="C1" s="839" t="s">
        <v>1</v>
      </c>
      <c r="D1" s="839" t="s">
        <v>2</v>
      </c>
      <c r="E1" s="839" t="s">
        <v>3</v>
      </c>
      <c r="F1" s="839" t="s">
        <v>4</v>
      </c>
      <c r="G1" s="839"/>
    </row>
    <row r="2" spans="1:7">
      <c r="A2" s="839" t="s">
        <v>234</v>
      </c>
      <c r="B2" s="780" t="s">
        <v>235</v>
      </c>
      <c r="C2" s="780" t="s">
        <v>215</v>
      </c>
      <c r="D2" s="780" t="s">
        <v>236</v>
      </c>
      <c r="E2" s="780" t="s">
        <v>215</v>
      </c>
      <c r="F2" s="780" t="s">
        <v>235</v>
      </c>
      <c r="G2" s="929" t="s">
        <v>237</v>
      </c>
    </row>
    <row r="3" spans="1:7">
      <c r="A3" s="839" t="s">
        <v>238</v>
      </c>
      <c r="B3" s="780" t="s">
        <v>235</v>
      </c>
      <c r="C3" s="780" t="s">
        <v>215</v>
      </c>
      <c r="D3" s="780" t="s">
        <v>236</v>
      </c>
      <c r="E3" s="780" t="s">
        <v>215</v>
      </c>
      <c r="F3" s="780" t="s">
        <v>235</v>
      </c>
      <c r="G3" s="929"/>
    </row>
    <row r="4" spans="1:7">
      <c r="A4" s="839" t="s">
        <v>239</v>
      </c>
      <c r="B4" s="780" t="s">
        <v>235</v>
      </c>
      <c r="C4" s="780" t="s">
        <v>215</v>
      </c>
      <c r="D4" s="780" t="s">
        <v>236</v>
      </c>
      <c r="E4" s="780" t="s">
        <v>215</v>
      </c>
      <c r="F4" s="780" t="s">
        <v>235</v>
      </c>
      <c r="G4" s="929"/>
    </row>
    <row r="5" spans="1:7">
      <c r="A5" s="839" t="s">
        <v>240</v>
      </c>
      <c r="B5" s="780" t="s">
        <v>235</v>
      </c>
      <c r="C5" s="780" t="s">
        <v>215</v>
      </c>
      <c r="D5" s="780" t="s">
        <v>236</v>
      </c>
      <c r="E5" s="780" t="s">
        <v>215</v>
      </c>
      <c r="F5" s="780" t="s">
        <v>235</v>
      </c>
      <c r="G5" s="929"/>
    </row>
    <row r="7" spans="1:7">
      <c r="A7" s="839" t="s">
        <v>241</v>
      </c>
      <c r="B7" s="780" t="s">
        <v>215</v>
      </c>
      <c r="C7" s="780" t="s">
        <v>235</v>
      </c>
      <c r="D7" s="780" t="s">
        <v>235</v>
      </c>
      <c r="E7" s="780" t="s">
        <v>235</v>
      </c>
      <c r="F7" s="780" t="s">
        <v>242</v>
      </c>
      <c r="G7" s="929" t="s">
        <v>243</v>
      </c>
    </row>
    <row r="8" spans="1:7">
      <c r="A8" s="839" t="s">
        <v>244</v>
      </c>
      <c r="B8" s="780" t="s">
        <v>215</v>
      </c>
      <c r="C8" s="780" t="s">
        <v>235</v>
      </c>
      <c r="D8" s="780" t="s">
        <v>235</v>
      </c>
      <c r="E8" s="780" t="s">
        <v>235</v>
      </c>
      <c r="F8" s="780" t="s">
        <v>242</v>
      </c>
      <c r="G8" s="929"/>
    </row>
    <row r="9" spans="1:7">
      <c r="A9" s="839" t="s">
        <v>245</v>
      </c>
      <c r="B9" s="780" t="s">
        <v>215</v>
      </c>
      <c r="C9" s="780" t="s">
        <v>235</v>
      </c>
      <c r="D9" s="780" t="s">
        <v>235</v>
      </c>
      <c r="E9" s="780" t="s">
        <v>235</v>
      </c>
      <c r="F9" s="780" t="s">
        <v>242</v>
      </c>
      <c r="G9" s="929"/>
    </row>
    <row r="10" spans="1:7">
      <c r="A10" s="839" t="s">
        <v>246</v>
      </c>
      <c r="B10" s="780" t="s">
        <v>215</v>
      </c>
      <c r="C10" s="780" t="s">
        <v>235</v>
      </c>
      <c r="D10" s="780" t="s">
        <v>235</v>
      </c>
      <c r="E10" s="780" t="s">
        <v>235</v>
      </c>
      <c r="F10" s="780" t="s">
        <v>242</v>
      </c>
      <c r="G10" s="929"/>
    </row>
  </sheetData>
  <mergeCells count="2">
    <mergeCell ref="G2:G5"/>
    <mergeCell ref="G7:G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A1E7A-497A-4304-B20D-EA41052E8C4A}">
  <dimension ref="A2:C6"/>
  <sheetViews>
    <sheetView workbookViewId="0">
      <selection activeCell="A2" sqref="A2:A6"/>
    </sheetView>
  </sheetViews>
  <sheetFormatPr defaultRowHeight="12.75"/>
  <cols>
    <col min="1" max="1" width="10.28515625" bestFit="1" customWidth="1"/>
  </cols>
  <sheetData>
    <row r="2" spans="1:3">
      <c r="A2" s="71">
        <v>43903</v>
      </c>
      <c r="B2" t="s">
        <v>247</v>
      </c>
      <c r="C2" s="6">
        <v>876.8</v>
      </c>
    </row>
    <row r="3" spans="1:3">
      <c r="A3" s="71">
        <v>43928</v>
      </c>
      <c r="C3">
        <v>6436.63</v>
      </c>
    </row>
    <row r="4" spans="1:3">
      <c r="A4" s="71">
        <v>43959</v>
      </c>
      <c r="C4">
        <v>6352.63</v>
      </c>
    </row>
    <row r="5" spans="1:3">
      <c r="A5" s="71">
        <v>43987</v>
      </c>
      <c r="C5">
        <v>6394.42</v>
      </c>
    </row>
    <row r="6" spans="1:3">
      <c r="A6" s="71">
        <v>44019</v>
      </c>
      <c r="C6">
        <v>6896.65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44E2D-41E7-4064-8714-44628FAA477D}">
  <sheetPr>
    <pageSetUpPr fitToPage="1"/>
  </sheetPr>
  <dimension ref="A2:M506"/>
  <sheetViews>
    <sheetView tabSelected="1" topLeftCell="A197" workbookViewId="0">
      <selection activeCell="G228" sqref="G228"/>
    </sheetView>
  </sheetViews>
  <sheetFormatPr defaultColWidth="9.140625" defaultRowHeight="12.75"/>
  <cols>
    <col min="1" max="1" width="4.140625" style="4" bestFit="1" customWidth="1"/>
    <col min="2" max="2" width="11.7109375" customWidth="1"/>
    <col min="3" max="3" width="13.5703125" bestFit="1" customWidth="1"/>
    <col min="4" max="4" width="39.7109375" customWidth="1"/>
    <col min="5" max="5" width="5.140625" style="51" bestFit="1" customWidth="1"/>
    <col min="6" max="7" width="14.85546875" bestFit="1" customWidth="1"/>
    <col min="8" max="8" width="13.140625" bestFit="1" customWidth="1"/>
    <col min="9" max="9" width="11.28515625" bestFit="1" customWidth="1"/>
  </cols>
  <sheetData>
    <row r="2" spans="1:9">
      <c r="A2" s="835"/>
      <c r="B2" s="947" t="s">
        <v>248</v>
      </c>
      <c r="C2" s="947"/>
      <c r="D2" s="947"/>
      <c r="E2" s="947"/>
      <c r="F2" s="947"/>
      <c r="G2" s="947"/>
      <c r="H2" s="947"/>
    </row>
    <row r="3" spans="1:9">
      <c r="A3" s="835"/>
      <c r="B3" s="835"/>
      <c r="C3" s="835"/>
      <c r="D3" s="835"/>
      <c r="F3" s="835"/>
      <c r="G3" s="835"/>
      <c r="H3" s="835"/>
    </row>
    <row r="4" spans="1:9">
      <c r="A4" s="835"/>
      <c r="B4" s="950" t="s">
        <v>249</v>
      </c>
      <c r="C4" s="950"/>
      <c r="D4" s="950"/>
      <c r="E4" s="950"/>
      <c r="F4" s="950"/>
      <c r="G4" s="950"/>
      <c r="H4" s="950"/>
    </row>
    <row r="5" spans="1:9">
      <c r="A5" s="835"/>
      <c r="B5" s="390" t="s">
        <v>250</v>
      </c>
      <c r="C5" s="390" t="s">
        <v>251</v>
      </c>
      <c r="D5" s="429" t="s">
        <v>252</v>
      </c>
      <c r="E5" s="390" t="s">
        <v>253</v>
      </c>
      <c r="F5" s="51" t="s">
        <v>254</v>
      </c>
      <c r="G5" s="208" t="s">
        <v>255</v>
      </c>
      <c r="H5" s="51" t="s">
        <v>89</v>
      </c>
    </row>
    <row r="6" spans="1:9">
      <c r="A6" s="835">
        <v>1</v>
      </c>
      <c r="B6" s="231"/>
      <c r="C6" s="231"/>
      <c r="D6" s="219"/>
      <c r="E6" s="816"/>
      <c r="F6" s="219"/>
      <c r="G6" s="220">
        <v>2360000</v>
      </c>
      <c r="H6" s="220">
        <f>F6-G6</f>
        <v>-2360000</v>
      </c>
      <c r="I6" s="6"/>
    </row>
    <row r="7" spans="1:9">
      <c r="A7" s="835">
        <v>2</v>
      </c>
      <c r="B7" s="231"/>
      <c r="C7" s="231"/>
      <c r="D7" s="219"/>
      <c r="E7" s="816"/>
      <c r="F7" s="219"/>
      <c r="G7" s="220">
        <v>4100000</v>
      </c>
      <c r="H7" s="220">
        <f>H6-G7</f>
        <v>-6460000</v>
      </c>
      <c r="I7" s="6"/>
    </row>
    <row r="8" spans="1:9">
      <c r="A8" s="835">
        <v>3</v>
      </c>
      <c r="B8" s="231"/>
      <c r="C8" s="231"/>
      <c r="D8" s="219"/>
      <c r="E8" s="816"/>
      <c r="F8" s="219"/>
      <c r="G8" s="220">
        <v>1695000</v>
      </c>
      <c r="H8" s="220">
        <f>H7-G8</f>
        <v>-8155000</v>
      </c>
      <c r="I8" s="6"/>
    </row>
    <row r="9" spans="1:9">
      <c r="A9" s="835">
        <v>4</v>
      </c>
      <c r="B9" s="231"/>
      <c r="C9" s="231"/>
      <c r="D9" s="219"/>
      <c r="E9" s="816"/>
      <c r="F9" s="219"/>
      <c r="G9" s="220">
        <v>566371</v>
      </c>
      <c r="H9" s="220">
        <f>H8-G9</f>
        <v>-8721371</v>
      </c>
      <c r="I9" s="6"/>
    </row>
    <row r="10" spans="1:9">
      <c r="A10" s="835">
        <v>5</v>
      </c>
      <c r="B10" s="231"/>
      <c r="C10" s="231"/>
      <c r="D10" s="219" t="s">
        <v>26</v>
      </c>
      <c r="E10" s="816"/>
      <c r="F10" s="220">
        <v>784462</v>
      </c>
      <c r="G10" s="219"/>
      <c r="H10" s="220">
        <f t="shared" ref="H10:H15" si="0">H9+F10</f>
        <v>-7936909</v>
      </c>
      <c r="I10" s="6"/>
    </row>
    <row r="11" spans="1:9">
      <c r="A11" s="835">
        <v>6</v>
      </c>
      <c r="B11" s="231">
        <v>43867</v>
      </c>
      <c r="C11" s="231"/>
      <c r="D11" s="219" t="s">
        <v>26</v>
      </c>
      <c r="E11" s="816"/>
      <c r="F11" s="220">
        <v>1800000</v>
      </c>
      <c r="G11" s="219"/>
      <c r="H11" s="220">
        <f t="shared" si="0"/>
        <v>-6136909</v>
      </c>
      <c r="I11" s="6"/>
    </row>
    <row r="12" spans="1:9">
      <c r="A12" s="835">
        <v>7</v>
      </c>
      <c r="B12" s="233">
        <v>43873</v>
      </c>
      <c r="C12" s="233"/>
      <c r="D12" s="232" t="s">
        <v>256</v>
      </c>
      <c r="E12" s="471"/>
      <c r="F12" s="234">
        <v>784000</v>
      </c>
      <c r="G12" s="234"/>
      <c r="H12" s="234">
        <f t="shared" si="0"/>
        <v>-5352909</v>
      </c>
      <c r="I12" s="6">
        <v>10000</v>
      </c>
    </row>
    <row r="13" spans="1:9">
      <c r="A13" s="835">
        <v>8</v>
      </c>
      <c r="B13" s="231"/>
      <c r="C13" s="469"/>
      <c r="D13" s="235" t="s">
        <v>257</v>
      </c>
      <c r="E13" s="472"/>
      <c r="F13" s="220" t="e">
        <f>I13*#REF!</f>
        <v>#REF!</v>
      </c>
      <c r="G13" s="236"/>
      <c r="H13" s="220" t="e">
        <f t="shared" si="0"/>
        <v>#REF!</v>
      </c>
      <c r="I13" s="6">
        <v>10000</v>
      </c>
    </row>
    <row r="14" spans="1:9">
      <c r="A14" s="835">
        <v>9</v>
      </c>
      <c r="B14" s="233">
        <v>43883</v>
      </c>
      <c r="C14" s="470"/>
      <c r="D14" s="237" t="s">
        <v>258</v>
      </c>
      <c r="E14" s="473"/>
      <c r="F14" s="234">
        <v>784000</v>
      </c>
      <c r="G14" s="238"/>
      <c r="H14" s="234" t="e">
        <f t="shared" si="0"/>
        <v>#REF!</v>
      </c>
      <c r="I14" s="6">
        <v>425</v>
      </c>
    </row>
    <row r="15" spans="1:9">
      <c r="A15" s="835">
        <v>10</v>
      </c>
      <c r="B15" s="231">
        <v>43886</v>
      </c>
      <c r="C15" s="231"/>
      <c r="D15" s="219" t="s">
        <v>259</v>
      </c>
      <c r="E15" s="816"/>
      <c r="F15" s="220">
        <v>621000</v>
      </c>
      <c r="G15" s="219"/>
      <c r="H15" s="220" t="e">
        <f t="shared" si="0"/>
        <v>#REF!</v>
      </c>
      <c r="I15" s="6">
        <v>100</v>
      </c>
    </row>
    <row r="16" spans="1:9">
      <c r="A16" s="835"/>
      <c r="B16" s="71"/>
      <c r="C16" s="71"/>
      <c r="D16" s="835" t="s">
        <v>59</v>
      </c>
      <c r="F16" s="6" t="e">
        <f>SUM(F6:F15)</f>
        <v>#REF!</v>
      </c>
      <c r="G16" s="1">
        <f>SUM(G6:G15)</f>
        <v>8721371</v>
      </c>
      <c r="H16" s="594">
        <v>-3197909</v>
      </c>
      <c r="I16" s="6">
        <f>F10</f>
        <v>784462</v>
      </c>
    </row>
    <row r="17" spans="1:9">
      <c r="A17" s="835"/>
      <c r="B17" s="949" t="s">
        <v>260</v>
      </c>
      <c r="C17" s="949"/>
      <c r="D17" s="949"/>
      <c r="E17" s="949"/>
      <c r="F17" s="949"/>
      <c r="G17" s="949"/>
      <c r="H17" s="949"/>
      <c r="I17" s="1" t="s">
        <v>261</v>
      </c>
    </row>
    <row r="18" spans="1:9">
      <c r="A18" s="835"/>
      <c r="B18" s="390" t="s">
        <v>250</v>
      </c>
      <c r="C18" s="390" t="s">
        <v>251</v>
      </c>
      <c r="D18" s="429" t="s">
        <v>252</v>
      </c>
      <c r="E18" s="390" t="s">
        <v>253</v>
      </c>
      <c r="F18" s="51" t="s">
        <v>254</v>
      </c>
      <c r="G18" s="208" t="s">
        <v>255</v>
      </c>
      <c r="H18" s="594">
        <v>-3197909</v>
      </c>
      <c r="I18" s="6"/>
    </row>
    <row r="19" spans="1:9">
      <c r="A19" s="835">
        <v>11</v>
      </c>
      <c r="B19" s="469">
        <v>43892</v>
      </c>
      <c r="C19" s="219"/>
      <c r="D19" s="236" t="s">
        <v>262</v>
      </c>
      <c r="E19" s="816"/>
      <c r="F19" s="220">
        <f>1621769-69</f>
        <v>1621700</v>
      </c>
      <c r="G19" s="220"/>
      <c r="H19" s="220">
        <f>H18+F19-G19</f>
        <v>-1576209</v>
      </c>
      <c r="I19" s="6">
        <v>20000</v>
      </c>
    </row>
    <row r="20" spans="1:9">
      <c r="A20" s="835">
        <v>12</v>
      </c>
      <c r="B20" s="469"/>
      <c r="C20" s="231"/>
      <c r="D20" s="236" t="s">
        <v>263</v>
      </c>
      <c r="E20" s="816"/>
      <c r="F20" s="220"/>
      <c r="G20" s="220">
        <v>500000</v>
      </c>
      <c r="H20" s="220">
        <f>H19+F20-G20</f>
        <v>-2076209</v>
      </c>
      <c r="I20" s="6"/>
    </row>
    <row r="21" spans="1:9">
      <c r="A21" s="835">
        <v>13</v>
      </c>
      <c r="B21" s="231"/>
      <c r="C21" s="452"/>
      <c r="D21" s="219" t="s">
        <v>264</v>
      </c>
      <c r="E21" s="816"/>
      <c r="F21" s="220" t="e">
        <f>I21*#REF!</f>
        <v>#REF!</v>
      </c>
      <c r="G21" s="220"/>
      <c r="H21" s="220" t="e">
        <f>H20+F21-G21</f>
        <v>#REF!</v>
      </c>
      <c r="I21" s="6">
        <v>300</v>
      </c>
    </row>
    <row r="22" spans="1:9">
      <c r="A22" s="835">
        <v>14</v>
      </c>
      <c r="B22" s="231"/>
      <c r="C22" s="231"/>
      <c r="D22" s="219" t="s">
        <v>265</v>
      </c>
      <c r="E22" s="816"/>
      <c r="F22" s="220"/>
      <c r="G22" s="220"/>
      <c r="H22" s="220" t="e">
        <f>H21+F22-G22</f>
        <v>#REF!</v>
      </c>
      <c r="I22" s="6"/>
    </row>
    <row r="23" spans="1:9">
      <c r="A23" s="835">
        <v>15</v>
      </c>
      <c r="B23" s="231"/>
      <c r="C23" s="231"/>
      <c r="D23" s="219" t="s">
        <v>266</v>
      </c>
      <c r="E23" s="816"/>
      <c r="F23" s="220"/>
      <c r="G23" s="220"/>
      <c r="H23" s="220" t="e">
        <f>H22+F23-G23</f>
        <v>#REF!</v>
      </c>
      <c r="I23" s="6"/>
    </row>
    <row r="24" spans="1:9">
      <c r="A24" s="835">
        <v>16</v>
      </c>
      <c r="B24" s="231"/>
      <c r="C24" s="231"/>
      <c r="D24" s="219" t="s">
        <v>267</v>
      </c>
      <c r="E24" s="816"/>
      <c r="F24" s="220"/>
      <c r="G24" s="220">
        <v>27700</v>
      </c>
      <c r="H24" s="220" t="e">
        <f>H23+F24-G24</f>
        <v>#REF!</v>
      </c>
      <c r="I24" s="6"/>
    </row>
    <row r="25" spans="1:9">
      <c r="A25" s="835">
        <v>17</v>
      </c>
      <c r="B25" s="233"/>
      <c r="C25" s="233"/>
      <c r="D25" s="232" t="s">
        <v>268</v>
      </c>
      <c r="E25" s="471"/>
      <c r="F25" s="234"/>
      <c r="G25" s="234">
        <v>19495</v>
      </c>
      <c r="H25" s="220" t="e">
        <f>H24+F25-G25</f>
        <v>#REF!</v>
      </c>
      <c r="I25" s="6"/>
    </row>
    <row r="26" spans="1:9">
      <c r="A26" s="835">
        <v>18</v>
      </c>
      <c r="B26" s="231"/>
      <c r="C26" s="231"/>
      <c r="D26" s="219" t="s">
        <v>269</v>
      </c>
      <c r="E26" s="816"/>
      <c r="F26" s="220"/>
      <c r="G26" s="220">
        <v>100000</v>
      </c>
      <c r="H26" s="220" t="e">
        <f>H25+F26-G26</f>
        <v>#REF!</v>
      </c>
      <c r="I26" s="6"/>
    </row>
    <row r="27" spans="1:9">
      <c r="A27" s="835">
        <v>19</v>
      </c>
      <c r="B27" s="231"/>
      <c r="C27" s="231"/>
      <c r="D27" s="219" t="s">
        <v>270</v>
      </c>
      <c r="E27" s="816"/>
      <c r="F27" s="220"/>
      <c r="G27" s="220">
        <v>90000</v>
      </c>
      <c r="H27" s="220" t="e">
        <f>H26+F27-G27</f>
        <v>#REF!</v>
      </c>
      <c r="I27" s="6"/>
    </row>
    <row r="28" spans="1:9">
      <c r="A28" s="835">
        <v>20</v>
      </c>
      <c r="B28" s="231"/>
      <c r="C28" s="231"/>
      <c r="D28" s="219" t="s">
        <v>271</v>
      </c>
      <c r="E28" s="816"/>
      <c r="F28" s="220"/>
      <c r="G28" s="220">
        <v>25000</v>
      </c>
      <c r="H28" s="220" t="e">
        <f>H27+F28-G28</f>
        <v>#REF!</v>
      </c>
      <c r="I28" s="6"/>
    </row>
    <row r="29" spans="1:9">
      <c r="A29" s="835">
        <v>21</v>
      </c>
      <c r="B29" s="231"/>
      <c r="C29" s="231"/>
      <c r="D29" s="219" t="s">
        <v>272</v>
      </c>
      <c r="E29" s="816"/>
      <c r="F29" s="220"/>
      <c r="G29" s="220">
        <v>450000</v>
      </c>
      <c r="H29" s="220" t="e">
        <f>H28+F29-G29</f>
        <v>#REF!</v>
      </c>
      <c r="I29" s="6"/>
    </row>
    <row r="30" spans="1:9">
      <c r="A30" s="835">
        <v>22</v>
      </c>
      <c r="B30" s="231"/>
      <c r="C30" s="231"/>
      <c r="D30" s="219" t="s">
        <v>273</v>
      </c>
      <c r="E30" s="816"/>
      <c r="F30" s="220"/>
      <c r="G30" s="220">
        <v>64000</v>
      </c>
      <c r="H30" s="220" t="e">
        <f>H29+F30-G30</f>
        <v>#REF!</v>
      </c>
      <c r="I30" s="6"/>
    </row>
    <row r="31" spans="1:9" ht="13.5">
      <c r="A31" s="835"/>
      <c r="B31" s="71"/>
      <c r="C31" s="71"/>
      <c r="D31" s="835" t="s">
        <v>59</v>
      </c>
      <c r="F31" s="6" t="e">
        <f>SUM(F19:F30)</f>
        <v>#REF!</v>
      </c>
      <c r="G31" s="6">
        <f>SUM(G19:G30)</f>
        <v>1276195</v>
      </c>
      <c r="H31" s="593" t="e">
        <f>H16+F31-G31</f>
        <v>#REF!</v>
      </c>
      <c r="I31" s="6" t="e">
        <f>H31-G36-G42-G43</f>
        <v>#REF!</v>
      </c>
    </row>
    <row r="32" spans="1:9">
      <c r="A32" s="835"/>
      <c r="B32" s="951" t="s">
        <v>274</v>
      </c>
      <c r="C32" s="951"/>
      <c r="D32" s="951"/>
      <c r="E32" s="951"/>
      <c r="F32" s="951"/>
      <c r="G32" s="951"/>
      <c r="H32" s="951"/>
      <c r="I32" s="1" t="s">
        <v>261</v>
      </c>
    </row>
    <row r="33" spans="1:9">
      <c r="A33" s="835"/>
      <c r="B33" s="390" t="s">
        <v>250</v>
      </c>
      <c r="C33" s="390" t="s">
        <v>251</v>
      </c>
      <c r="D33" s="429" t="s">
        <v>252</v>
      </c>
      <c r="E33" s="390" t="s">
        <v>253</v>
      </c>
      <c r="F33" s="51" t="s">
        <v>254</v>
      </c>
      <c r="G33" s="208" t="s">
        <v>255</v>
      </c>
      <c r="H33" s="594">
        <v>-1106404</v>
      </c>
      <c r="I33" s="6"/>
    </row>
    <row r="34" spans="1:9">
      <c r="A34" s="835">
        <v>23</v>
      </c>
      <c r="B34" s="231"/>
      <c r="C34" s="231"/>
      <c r="D34" s="219" t="s">
        <v>26</v>
      </c>
      <c r="E34" s="816"/>
      <c r="F34" s="220">
        <v>1200000</v>
      </c>
      <c r="G34" s="220"/>
      <c r="H34" s="220">
        <f t="shared" ref="H34:H43" si="1">H33+F34-G34</f>
        <v>93596</v>
      </c>
      <c r="I34" s="6">
        <v>16207.78</v>
      </c>
    </row>
    <row r="35" spans="1:9" s="409" customFormat="1">
      <c r="A35" s="460">
        <v>24</v>
      </c>
      <c r="B35" s="482"/>
      <c r="C35" s="482"/>
      <c r="D35" s="464" t="s">
        <v>275</v>
      </c>
      <c r="E35" s="483"/>
      <c r="F35" s="465"/>
      <c r="G35" s="465">
        <v>500000</v>
      </c>
      <c r="H35" s="465">
        <f t="shared" si="1"/>
        <v>-406404</v>
      </c>
      <c r="I35" s="410"/>
    </row>
    <row r="36" spans="1:9" s="409" customFormat="1">
      <c r="A36" s="835">
        <v>25</v>
      </c>
      <c r="B36" s="482">
        <v>43904</v>
      </c>
      <c r="C36" s="482"/>
      <c r="D36" s="464" t="s">
        <v>276</v>
      </c>
      <c r="E36" s="483"/>
      <c r="F36" s="465"/>
      <c r="G36" s="465">
        <v>50000</v>
      </c>
      <c r="H36" s="465">
        <f t="shared" si="1"/>
        <v>-456404</v>
      </c>
      <c r="I36" s="410"/>
    </row>
    <row r="37" spans="1:9" s="409" customFormat="1">
      <c r="A37" s="460">
        <v>26</v>
      </c>
      <c r="B37" s="482">
        <v>43915</v>
      </c>
      <c r="C37" s="482"/>
      <c r="D37" s="464" t="s">
        <v>277</v>
      </c>
      <c r="E37" s="483"/>
      <c r="F37" s="465"/>
      <c r="G37" s="465">
        <v>67195</v>
      </c>
      <c r="H37" s="465">
        <f t="shared" si="1"/>
        <v>-523599</v>
      </c>
      <c r="I37" s="410"/>
    </row>
    <row r="38" spans="1:9" s="409" customFormat="1">
      <c r="A38" s="835">
        <v>27</v>
      </c>
      <c r="B38" s="482"/>
      <c r="C38" s="482"/>
      <c r="D38" s="464" t="s">
        <v>265</v>
      </c>
      <c r="E38" s="483"/>
      <c r="F38" s="465"/>
      <c r="G38" s="465"/>
      <c r="H38" s="465">
        <f t="shared" si="1"/>
        <v>-523599</v>
      </c>
      <c r="I38" s="410"/>
    </row>
    <row r="39" spans="1:9" s="409" customFormat="1">
      <c r="A39" s="460">
        <v>28</v>
      </c>
      <c r="B39" s="484"/>
      <c r="C39" s="484"/>
      <c r="D39" s="486" t="s">
        <v>266</v>
      </c>
      <c r="E39" s="675"/>
      <c r="F39" s="485"/>
      <c r="G39" s="485"/>
      <c r="H39" s="465">
        <f t="shared" si="1"/>
        <v>-523599</v>
      </c>
      <c r="I39" s="410"/>
    </row>
    <row r="40" spans="1:9">
      <c r="A40" s="835">
        <v>29</v>
      </c>
      <c r="B40" s="231"/>
      <c r="C40" s="231"/>
      <c r="D40" s="219" t="s">
        <v>267</v>
      </c>
      <c r="E40" s="816"/>
      <c r="F40" s="220"/>
      <c r="G40" s="220"/>
      <c r="H40" s="220">
        <f t="shared" si="1"/>
        <v>-523599</v>
      </c>
      <c r="I40" s="6"/>
    </row>
    <row r="41" spans="1:9">
      <c r="A41" s="460">
        <v>30</v>
      </c>
      <c r="B41" s="231"/>
      <c r="C41" s="231"/>
      <c r="D41" s="219" t="s">
        <v>268</v>
      </c>
      <c r="E41" s="816"/>
      <c r="F41" s="220"/>
      <c r="G41" s="220"/>
      <c r="H41" s="220">
        <f t="shared" si="1"/>
        <v>-523599</v>
      </c>
      <c r="I41" s="6"/>
    </row>
    <row r="42" spans="1:9">
      <c r="A42" s="835">
        <v>31</v>
      </c>
      <c r="B42" s="231"/>
      <c r="C42" s="231"/>
      <c r="D42" s="219" t="s">
        <v>278</v>
      </c>
      <c r="E42" s="816"/>
      <c r="F42" s="220"/>
      <c r="G42" s="220">
        <v>450000</v>
      </c>
      <c r="H42" s="220">
        <f t="shared" si="1"/>
        <v>-973599</v>
      </c>
    </row>
    <row r="43" spans="1:9">
      <c r="A43" s="460">
        <v>32</v>
      </c>
      <c r="B43" s="231"/>
      <c r="C43" s="231"/>
      <c r="D43" s="219" t="s">
        <v>279</v>
      </c>
      <c r="E43" s="816"/>
      <c r="F43" s="220"/>
      <c r="G43" s="220">
        <v>600000</v>
      </c>
      <c r="H43" s="220">
        <f t="shared" si="1"/>
        <v>-1573599</v>
      </c>
    </row>
    <row r="44" spans="1:9">
      <c r="A44" s="835"/>
      <c r="B44" s="71"/>
      <c r="C44" s="71"/>
      <c r="D44" s="835" t="s">
        <v>59</v>
      </c>
      <c r="F44" s="6">
        <f>SUM(F34:F43)</f>
        <v>1200000</v>
      </c>
      <c r="G44" s="6">
        <f>SUM(G34:G43)</f>
        <v>1667195</v>
      </c>
      <c r="H44" s="594">
        <f>F44-G44+H33</f>
        <v>-1573599</v>
      </c>
      <c r="I44" s="6"/>
    </row>
    <row r="45" spans="1:9">
      <c r="A45" s="835"/>
      <c r="B45" s="952" t="s">
        <v>280</v>
      </c>
      <c r="C45" s="952"/>
      <c r="D45" s="952"/>
      <c r="E45" s="952"/>
      <c r="F45" s="952"/>
      <c r="G45" s="952"/>
      <c r="H45" s="952"/>
      <c r="I45" s="51" t="s">
        <v>261</v>
      </c>
    </row>
    <row r="46" spans="1:9" ht="13.5">
      <c r="A46" s="835"/>
      <c r="B46" s="390" t="s">
        <v>250</v>
      </c>
      <c r="C46" s="390" t="s">
        <v>251</v>
      </c>
      <c r="D46" s="429" t="s">
        <v>252</v>
      </c>
      <c r="E46" s="390" t="s">
        <v>253</v>
      </c>
      <c r="F46" s="51" t="s">
        <v>254</v>
      </c>
      <c r="G46" s="208" t="s">
        <v>255</v>
      </c>
      <c r="H46" s="593">
        <v>-1573599</v>
      </c>
    </row>
    <row r="47" spans="1:9">
      <c r="A47" s="835">
        <v>33</v>
      </c>
      <c r="B47" s="233">
        <v>43955</v>
      </c>
      <c r="C47" s="233"/>
      <c r="D47" s="232" t="s">
        <v>26</v>
      </c>
      <c r="E47" s="471"/>
      <c r="F47" s="234">
        <v>1800000</v>
      </c>
      <c r="G47" s="430"/>
      <c r="H47" s="220">
        <f>H46+F47-G47</f>
        <v>226401</v>
      </c>
      <c r="I47" s="6">
        <v>31971.71</v>
      </c>
    </row>
    <row r="48" spans="1:9">
      <c r="A48" s="835">
        <v>34</v>
      </c>
      <c r="B48" s="231"/>
      <c r="C48" s="231"/>
      <c r="D48" s="219" t="s">
        <v>281</v>
      </c>
      <c r="E48" s="816"/>
      <c r="F48" s="220"/>
      <c r="G48" s="431">
        <v>500000</v>
      </c>
      <c r="H48" s="220">
        <f>H47+F48-G48</f>
        <v>-273599</v>
      </c>
      <c r="I48" s="6"/>
    </row>
    <row r="49" spans="1:9">
      <c r="A49" s="835">
        <v>35</v>
      </c>
      <c r="B49" s="231"/>
      <c r="C49" s="231"/>
      <c r="D49" s="219" t="s">
        <v>282</v>
      </c>
      <c r="E49" s="816"/>
      <c r="F49" s="220"/>
      <c r="G49" s="431"/>
      <c r="H49" s="220">
        <f>H48+F49-G49</f>
        <v>-273599</v>
      </c>
      <c r="I49" s="6"/>
    </row>
    <row r="50" spans="1:9">
      <c r="A50" s="835">
        <v>36</v>
      </c>
      <c r="B50" s="231"/>
      <c r="C50" s="231"/>
      <c r="D50" s="219" t="s">
        <v>265</v>
      </c>
      <c r="E50" s="816"/>
      <c r="F50" s="220"/>
      <c r="G50" s="431"/>
      <c r="H50" s="220">
        <f>H49+F50-G50</f>
        <v>-273599</v>
      </c>
      <c r="I50" s="6"/>
    </row>
    <row r="51" spans="1:9">
      <c r="A51" s="835">
        <v>37</v>
      </c>
      <c r="B51" s="231"/>
      <c r="C51" s="231"/>
      <c r="D51" s="219" t="s">
        <v>283</v>
      </c>
      <c r="E51" s="816"/>
      <c r="F51" s="220"/>
      <c r="G51" s="431"/>
      <c r="H51" s="220">
        <f>H50+F51-G51</f>
        <v>-273599</v>
      </c>
      <c r="I51" s="6"/>
    </row>
    <row r="52" spans="1:9">
      <c r="A52" s="835">
        <v>38</v>
      </c>
      <c r="B52" s="231"/>
      <c r="C52" s="233"/>
      <c r="D52" s="232" t="s">
        <v>284</v>
      </c>
      <c r="E52" s="471"/>
      <c r="F52" s="220"/>
      <c r="G52" s="431"/>
      <c r="H52" s="220">
        <f>H51+F52-G52</f>
        <v>-273599</v>
      </c>
      <c r="I52" s="6"/>
    </row>
    <row r="53" spans="1:9">
      <c r="A53" s="835">
        <v>39</v>
      </c>
      <c r="B53" s="814">
        <v>43945</v>
      </c>
      <c r="C53" s="814"/>
      <c r="D53" s="219" t="s">
        <v>285</v>
      </c>
      <c r="E53" s="816"/>
      <c r="F53" s="220"/>
      <c r="G53" s="431">
        <v>40000</v>
      </c>
      <c r="H53" s="220">
        <f>H52+F53-G53</f>
        <v>-313599</v>
      </c>
      <c r="I53" s="6"/>
    </row>
    <row r="54" spans="1:9">
      <c r="A54" s="835"/>
      <c r="B54" s="71"/>
      <c r="C54" s="71"/>
      <c r="D54" s="835" t="s">
        <v>59</v>
      </c>
      <c r="F54" s="6">
        <f>SUM(F46:F53)</f>
        <v>1800000</v>
      </c>
      <c r="G54" s="6">
        <f>SUM(G46:G53)</f>
        <v>540000</v>
      </c>
      <c r="H54" s="594">
        <f>F54-G54</f>
        <v>1260000</v>
      </c>
    </row>
    <row r="55" spans="1:9">
      <c r="A55" s="835"/>
      <c r="B55" s="953" t="s">
        <v>286</v>
      </c>
      <c r="C55" s="953"/>
      <c r="D55" s="953"/>
      <c r="E55" s="953"/>
      <c r="F55" s="953"/>
      <c r="G55" s="953"/>
      <c r="H55" s="953"/>
      <c r="I55" s="51" t="s">
        <v>261</v>
      </c>
    </row>
    <row r="56" spans="1:9">
      <c r="A56" s="835"/>
      <c r="B56" s="390" t="s">
        <v>250</v>
      </c>
      <c r="C56" s="390" t="s">
        <v>251</v>
      </c>
      <c r="D56" s="429" t="s">
        <v>252</v>
      </c>
      <c r="E56" s="390" t="s">
        <v>253</v>
      </c>
      <c r="F56" s="51" t="s">
        <v>254</v>
      </c>
      <c r="G56" s="208" t="s">
        <v>255</v>
      </c>
      <c r="H56" s="594">
        <f>H54</f>
        <v>1260000</v>
      </c>
      <c r="I56" s="389">
        <v>-313599</v>
      </c>
    </row>
    <row r="57" spans="1:9">
      <c r="A57" s="835">
        <v>40</v>
      </c>
      <c r="B57" s="231">
        <v>43983</v>
      </c>
      <c r="C57" s="220"/>
      <c r="D57" s="219" t="s">
        <v>26</v>
      </c>
      <c r="E57" s="816"/>
      <c r="F57" s="220" t="e">
        <f>I57*#REF!</f>
        <v>#REF!</v>
      </c>
      <c r="G57" s="220"/>
      <c r="H57" s="220" t="e">
        <f>H56+F57-G57</f>
        <v>#REF!</v>
      </c>
      <c r="I57" s="6">
        <v>40000</v>
      </c>
    </row>
    <row r="58" spans="1:9" s="409" customFormat="1">
      <c r="A58" s="460">
        <v>41</v>
      </c>
      <c r="B58" s="482"/>
      <c r="C58" s="465"/>
      <c r="D58" s="464" t="s">
        <v>282</v>
      </c>
      <c r="E58" s="483"/>
      <c r="F58" s="465"/>
      <c r="G58" s="465"/>
      <c r="H58" s="465" t="e">
        <f>H57+F58-G58</f>
        <v>#REF!</v>
      </c>
      <c r="I58" s="410"/>
    </row>
    <row r="59" spans="1:9" s="409" customFormat="1">
      <c r="A59" s="835">
        <v>42</v>
      </c>
      <c r="B59" s="482"/>
      <c r="C59" s="465"/>
      <c r="D59" s="464" t="s">
        <v>265</v>
      </c>
      <c r="E59" s="483"/>
      <c r="F59" s="465"/>
      <c r="G59" s="465"/>
      <c r="H59" s="465" t="e">
        <f>H58+F59-G59</f>
        <v>#REF!</v>
      </c>
      <c r="I59" s="410"/>
    </row>
    <row r="60" spans="1:9" s="409" customFormat="1">
      <c r="A60" s="460">
        <v>43</v>
      </c>
      <c r="B60" s="482"/>
      <c r="C60" s="465"/>
      <c r="D60" s="464" t="s">
        <v>287</v>
      </c>
      <c r="E60" s="581" t="s">
        <v>288</v>
      </c>
      <c r="F60" s="465"/>
      <c r="G60" s="465">
        <f>(2800000)/7</f>
        <v>400000</v>
      </c>
      <c r="H60" s="465" t="e">
        <f>H59+F60-G60</f>
        <v>#REF!</v>
      </c>
      <c r="I60" s="410"/>
    </row>
    <row r="61" spans="1:9" s="409" customFormat="1">
      <c r="A61" s="835">
        <v>44</v>
      </c>
      <c r="B61" s="484"/>
      <c r="C61" s="485">
        <v>380000</v>
      </c>
      <c r="D61" s="486" t="s">
        <v>289</v>
      </c>
      <c r="E61" s="675">
        <v>2</v>
      </c>
      <c r="F61" s="485"/>
      <c r="G61" s="485">
        <f>C61*E61</f>
        <v>760000</v>
      </c>
      <c r="H61" s="465" t="e">
        <f t="shared" ref="H61:H66" si="2">H60+F61-G61</f>
        <v>#REF!</v>
      </c>
      <c r="I61" s="410"/>
    </row>
    <row r="62" spans="1:9" s="409" customFormat="1">
      <c r="A62" s="460">
        <v>45</v>
      </c>
      <c r="B62" s="484"/>
      <c r="C62" s="485">
        <v>50000</v>
      </c>
      <c r="D62" s="486" t="s">
        <v>290</v>
      </c>
      <c r="E62" s="675">
        <v>2</v>
      </c>
      <c r="F62" s="485"/>
      <c r="G62" s="485">
        <f t="shared" ref="G62:G69" si="3">C62*E62</f>
        <v>100000</v>
      </c>
      <c r="H62" s="465" t="e">
        <f t="shared" si="2"/>
        <v>#REF!</v>
      </c>
      <c r="I62" s="410"/>
    </row>
    <row r="63" spans="1:9" s="409" customFormat="1">
      <c r="A63" s="835">
        <v>46</v>
      </c>
      <c r="B63" s="482"/>
      <c r="C63" s="465">
        <v>120000</v>
      </c>
      <c r="D63" s="464" t="s">
        <v>291</v>
      </c>
      <c r="E63" s="483">
        <v>1</v>
      </c>
      <c r="F63" s="465"/>
      <c r="G63" s="465">
        <f t="shared" si="3"/>
        <v>120000</v>
      </c>
      <c r="H63" s="465" t="e">
        <f t="shared" si="2"/>
        <v>#REF!</v>
      </c>
      <c r="I63" s="410"/>
    </row>
    <row r="64" spans="1:9" s="409" customFormat="1">
      <c r="A64" s="460">
        <v>47</v>
      </c>
      <c r="B64" s="482"/>
      <c r="C64" s="465">
        <v>12000</v>
      </c>
      <c r="D64" s="464" t="s">
        <v>292</v>
      </c>
      <c r="E64" s="483">
        <v>1</v>
      </c>
      <c r="F64" s="465"/>
      <c r="G64" s="465">
        <f t="shared" si="3"/>
        <v>12000</v>
      </c>
      <c r="H64" s="465" t="e">
        <f t="shared" si="2"/>
        <v>#REF!</v>
      </c>
      <c r="I64" s="410"/>
    </row>
    <row r="65" spans="1:9" s="409" customFormat="1">
      <c r="A65" s="835">
        <v>48</v>
      </c>
      <c r="B65" s="482"/>
      <c r="C65" s="465">
        <v>400</v>
      </c>
      <c r="D65" s="464" t="s">
        <v>293</v>
      </c>
      <c r="E65" s="483">
        <v>300</v>
      </c>
      <c r="F65" s="465"/>
      <c r="G65" s="465">
        <f t="shared" si="3"/>
        <v>120000</v>
      </c>
      <c r="H65" s="465" t="e">
        <f t="shared" si="2"/>
        <v>#REF!</v>
      </c>
      <c r="I65" s="410"/>
    </row>
    <row r="66" spans="1:9" s="409" customFormat="1">
      <c r="A66" s="460">
        <v>49</v>
      </c>
      <c r="B66" s="482"/>
      <c r="C66" s="465">
        <v>40000</v>
      </c>
      <c r="D66" s="464" t="s">
        <v>294</v>
      </c>
      <c r="E66" s="483">
        <v>1</v>
      </c>
      <c r="F66" s="465"/>
      <c r="G66" s="465">
        <f t="shared" si="3"/>
        <v>40000</v>
      </c>
      <c r="H66" s="465" t="e">
        <f t="shared" si="2"/>
        <v>#REF!</v>
      </c>
      <c r="I66" s="410"/>
    </row>
    <row r="67" spans="1:9">
      <c r="A67" s="835">
        <v>50</v>
      </c>
      <c r="B67" s="231">
        <v>43978</v>
      </c>
      <c r="C67" s="220">
        <v>1</v>
      </c>
      <c r="D67" s="219" t="s">
        <v>295</v>
      </c>
      <c r="E67" s="816"/>
      <c r="F67" s="220"/>
      <c r="G67" s="220">
        <v>40000</v>
      </c>
      <c r="H67" s="220" t="e">
        <f>H66+F67-G67</f>
        <v>#REF!</v>
      </c>
      <c r="I67" s="6"/>
    </row>
    <row r="68" spans="1:9">
      <c r="A68" s="460">
        <v>51</v>
      </c>
      <c r="B68" s="231"/>
      <c r="C68" s="220"/>
      <c r="D68" s="219" t="s">
        <v>284</v>
      </c>
      <c r="E68" s="816"/>
      <c r="F68" s="220"/>
      <c r="G68" s="220">
        <f t="shared" si="3"/>
        <v>0</v>
      </c>
      <c r="H68" s="220" t="e">
        <f t="shared" ref="H68:H69" si="4">H67+F68-G68</f>
        <v>#REF!</v>
      </c>
      <c r="I68" s="6"/>
    </row>
    <row r="69" spans="1:9">
      <c r="A69" s="835">
        <v>52</v>
      </c>
      <c r="B69" s="231">
        <v>43972</v>
      </c>
      <c r="C69" s="220">
        <v>50000</v>
      </c>
      <c r="D69" s="219" t="s">
        <v>296</v>
      </c>
      <c r="E69" s="816">
        <v>5</v>
      </c>
      <c r="F69" s="220"/>
      <c r="G69" s="220">
        <f t="shared" si="3"/>
        <v>250000</v>
      </c>
      <c r="H69" s="220" t="e">
        <f t="shared" si="4"/>
        <v>#REF!</v>
      </c>
      <c r="I69" s="6"/>
    </row>
    <row r="70" spans="1:9">
      <c r="A70" s="835"/>
      <c r="B70" s="71"/>
      <c r="C70" s="71"/>
      <c r="D70" s="835" t="s">
        <v>59</v>
      </c>
      <c r="F70" s="6" t="e">
        <f>SUM(F57:F69)</f>
        <v>#REF!</v>
      </c>
      <c r="G70" s="6">
        <f>SUM(G57:G69)</f>
        <v>1842000</v>
      </c>
      <c r="H70" s="594" t="e">
        <f>H56+F70-G70</f>
        <v>#REF!</v>
      </c>
    </row>
    <row r="71" spans="1:9">
      <c r="A71" s="835"/>
      <c r="B71" s="954" t="s">
        <v>297</v>
      </c>
      <c r="C71" s="954"/>
      <c r="D71" s="954"/>
      <c r="E71" s="954"/>
      <c r="F71" s="954"/>
      <c r="G71" s="954"/>
      <c r="H71" s="954"/>
      <c r="I71" s="51" t="s">
        <v>261</v>
      </c>
    </row>
    <row r="72" spans="1:9">
      <c r="A72" s="835"/>
      <c r="B72" s="390" t="s">
        <v>250</v>
      </c>
      <c r="C72" s="390" t="s">
        <v>251</v>
      </c>
      <c r="D72" s="429" t="s">
        <v>252</v>
      </c>
      <c r="E72" s="390" t="s">
        <v>253</v>
      </c>
      <c r="F72" s="51" t="s">
        <v>254</v>
      </c>
      <c r="G72" s="208" t="s">
        <v>255</v>
      </c>
      <c r="H72" s="594">
        <v>-155599</v>
      </c>
      <c r="I72" s="6"/>
    </row>
    <row r="73" spans="1:9">
      <c r="A73" s="446">
        <v>53</v>
      </c>
      <c r="B73" s="436">
        <v>44018</v>
      </c>
      <c r="C73" s="436"/>
      <c r="D73" s="439" t="s">
        <v>298</v>
      </c>
      <c r="E73" s="475"/>
      <c r="F73" s="438" t="e">
        <f>I73*#REF!</f>
        <v>#REF!</v>
      </c>
      <c r="G73" s="438"/>
      <c r="H73" s="438" t="e">
        <f>H72+F73-G73</f>
        <v>#REF!</v>
      </c>
      <c r="I73" s="6">
        <v>20000</v>
      </c>
    </row>
    <row r="74" spans="1:9">
      <c r="A74" s="446">
        <v>54</v>
      </c>
      <c r="B74" s="436">
        <v>43999</v>
      </c>
      <c r="C74" s="436"/>
      <c r="D74" s="439" t="s">
        <v>299</v>
      </c>
      <c r="E74" s="475"/>
      <c r="F74" s="438">
        <v>1700000</v>
      </c>
      <c r="G74" s="438"/>
      <c r="H74" s="438" t="e">
        <f>H73+F74-G74</f>
        <v>#REF!</v>
      </c>
      <c r="I74" s="6"/>
    </row>
    <row r="75" spans="1:9" s="409" customFormat="1">
      <c r="A75" s="460">
        <v>55</v>
      </c>
      <c r="B75" s="482"/>
      <c r="C75" s="482"/>
      <c r="D75" s="464" t="s">
        <v>282</v>
      </c>
      <c r="E75" s="483"/>
      <c r="F75" s="465"/>
      <c r="G75" s="465"/>
      <c r="H75" s="465" t="e">
        <f>H74+F75-G75</f>
        <v>#REF!</v>
      </c>
      <c r="I75" s="410"/>
    </row>
    <row r="76" spans="1:9" s="409" customFormat="1">
      <c r="A76" s="460">
        <v>56</v>
      </c>
      <c r="B76" s="482"/>
      <c r="C76" s="482"/>
      <c r="D76" s="464" t="s">
        <v>265</v>
      </c>
      <c r="E76" s="483"/>
      <c r="F76" s="465"/>
      <c r="G76" s="465"/>
      <c r="H76" s="465" t="e">
        <f>H75+F76-G76</f>
        <v>#REF!</v>
      </c>
      <c r="I76" s="410"/>
    </row>
    <row r="77" spans="1:9" s="409" customFormat="1">
      <c r="A77" s="460">
        <v>57</v>
      </c>
      <c r="B77" s="482"/>
      <c r="C77" s="482"/>
      <c r="D77" s="464" t="s">
        <v>287</v>
      </c>
      <c r="E77" s="581" t="s">
        <v>300</v>
      </c>
      <c r="F77" s="465"/>
      <c r="G77" s="465">
        <f>(2800000)/7</f>
        <v>400000</v>
      </c>
      <c r="H77" s="465" t="e">
        <f>H76+F77-G77</f>
        <v>#REF!</v>
      </c>
      <c r="I77" s="410"/>
    </row>
    <row r="78" spans="1:9" s="409" customFormat="1">
      <c r="A78" s="460">
        <v>58</v>
      </c>
      <c r="B78" s="484"/>
      <c r="C78" s="464">
        <v>320000</v>
      </c>
      <c r="D78" s="486" t="s">
        <v>301</v>
      </c>
      <c r="E78" s="675">
        <v>1</v>
      </c>
      <c r="F78" s="485"/>
      <c r="G78" s="485">
        <v>320000</v>
      </c>
      <c r="H78" s="465" t="e">
        <f>H77+F78-G78</f>
        <v>#REF!</v>
      </c>
      <c r="I78" s="410"/>
    </row>
    <row r="79" spans="1:9" s="409" customFormat="1">
      <c r="A79" s="460">
        <v>59</v>
      </c>
      <c r="B79" s="482"/>
      <c r="C79" s="464">
        <v>400000</v>
      </c>
      <c r="D79" s="482" t="s">
        <v>302</v>
      </c>
      <c r="E79" s="675">
        <v>1</v>
      </c>
      <c r="F79" s="465"/>
      <c r="G79" s="487">
        <v>400000</v>
      </c>
      <c r="H79" s="465" t="e">
        <f>H78+F79-G79</f>
        <v>#REF!</v>
      </c>
      <c r="I79" s="410"/>
    </row>
    <row r="80" spans="1:9" s="409" customFormat="1">
      <c r="A80" s="460">
        <v>60</v>
      </c>
      <c r="B80" s="484">
        <v>44000</v>
      </c>
      <c r="C80" s="486"/>
      <c r="D80" s="484" t="s">
        <v>303</v>
      </c>
      <c r="E80" s="675"/>
      <c r="F80" s="485"/>
      <c r="G80" s="553">
        <v>380000</v>
      </c>
      <c r="H80" s="465" t="e">
        <f>H79+F80-G80</f>
        <v>#REF!</v>
      </c>
      <c r="I80" s="410"/>
    </row>
    <row r="81" spans="1:9" s="409" customFormat="1">
      <c r="A81" s="460">
        <v>61</v>
      </c>
      <c r="B81" s="484"/>
      <c r="C81" s="486"/>
      <c r="D81" s="484" t="s">
        <v>304</v>
      </c>
      <c r="E81" s="675"/>
      <c r="F81" s="485"/>
      <c r="G81" s="553">
        <v>150000</v>
      </c>
      <c r="H81" s="465" t="e">
        <f>H80+F81-G81</f>
        <v>#REF!</v>
      </c>
      <c r="I81" s="410"/>
    </row>
    <row r="82" spans="1:9" s="409" customFormat="1">
      <c r="A82" s="460">
        <v>62</v>
      </c>
      <c r="B82" s="484"/>
      <c r="C82" s="486"/>
      <c r="D82" s="484" t="s">
        <v>304</v>
      </c>
      <c r="E82" s="675"/>
      <c r="F82" s="485"/>
      <c r="G82" s="553">
        <v>80000</v>
      </c>
      <c r="H82" s="465" t="e">
        <f>H81+F82-G82</f>
        <v>#REF!</v>
      </c>
      <c r="I82" s="410"/>
    </row>
    <row r="83" spans="1:9">
      <c r="A83" s="835">
        <v>63</v>
      </c>
      <c r="B83" s="233">
        <v>44008</v>
      </c>
      <c r="C83" s="233"/>
      <c r="D83" s="232" t="s">
        <v>283</v>
      </c>
      <c r="E83" s="471">
        <v>1</v>
      </c>
      <c r="F83" s="234"/>
      <c r="G83" s="234">
        <v>20000</v>
      </c>
      <c r="H83" s="220" t="e">
        <f>H82+F83-G83</f>
        <v>#REF!</v>
      </c>
      <c r="I83" s="6"/>
    </row>
    <row r="84" spans="1:9">
      <c r="A84" s="835">
        <v>64</v>
      </c>
      <c r="B84" s="231"/>
      <c r="C84" s="231"/>
      <c r="D84" s="219" t="s">
        <v>284</v>
      </c>
      <c r="E84" s="816"/>
      <c r="F84" s="220"/>
      <c r="G84" s="220"/>
      <c r="H84" s="220" t="e">
        <f>H83+F84-G84</f>
        <v>#REF!</v>
      </c>
      <c r="I84" s="6"/>
    </row>
    <row r="85" spans="1:9">
      <c r="A85" s="835">
        <v>65</v>
      </c>
      <c r="B85" s="231"/>
      <c r="C85" s="231"/>
      <c r="D85" s="219" t="s">
        <v>305</v>
      </c>
      <c r="E85" s="480" t="s">
        <v>306</v>
      </c>
      <c r="F85" s="220"/>
      <c r="G85" s="220">
        <v>400000</v>
      </c>
      <c r="H85" s="220" t="e">
        <f>H84+F85-G85</f>
        <v>#REF!</v>
      </c>
      <c r="I85" s="6"/>
    </row>
    <row r="86" spans="1:9">
      <c r="A86" s="835"/>
      <c r="B86" s="71"/>
      <c r="C86" s="71"/>
      <c r="D86" s="835" t="s">
        <v>59</v>
      </c>
      <c r="F86" s="6" t="e">
        <f>SUM(F73:F85)</f>
        <v>#REF!</v>
      </c>
      <c r="G86" s="6">
        <f>SUM(G73:G85)</f>
        <v>2150000</v>
      </c>
      <c r="H86" s="562" t="e">
        <f>H72+F86-G86</f>
        <v>#REF!</v>
      </c>
    </row>
    <row r="87" spans="1:9">
      <c r="A87" s="835"/>
      <c r="B87" s="951" t="s">
        <v>307</v>
      </c>
      <c r="C87" s="951"/>
      <c r="D87" s="951"/>
      <c r="E87" s="951"/>
      <c r="F87" s="951"/>
      <c r="G87" s="951"/>
      <c r="H87" s="951"/>
      <c r="I87" s="51" t="s">
        <v>261</v>
      </c>
    </row>
    <row r="88" spans="1:9">
      <c r="A88" s="835"/>
      <c r="B88" s="390" t="s">
        <v>250</v>
      </c>
      <c r="C88" s="390" t="s">
        <v>251</v>
      </c>
      <c r="D88" s="429" t="s">
        <v>252</v>
      </c>
      <c r="E88" s="390" t="s">
        <v>253</v>
      </c>
      <c r="F88" s="51" t="s">
        <v>254</v>
      </c>
      <c r="G88" s="208" t="s">
        <v>255</v>
      </c>
      <c r="H88" s="562">
        <v>394401</v>
      </c>
    </row>
    <row r="89" spans="1:9">
      <c r="A89" s="446">
        <v>66</v>
      </c>
      <c r="B89" s="436">
        <v>44029</v>
      </c>
      <c r="C89" s="436"/>
      <c r="D89" s="439" t="s">
        <v>308</v>
      </c>
      <c r="E89" s="475"/>
      <c r="F89" s="438" t="e">
        <f>I89*#REF!</f>
        <v>#REF!</v>
      </c>
      <c r="G89" s="438"/>
      <c r="H89" s="438" t="e">
        <f>H88+F89-G89</f>
        <v>#REF!</v>
      </c>
      <c r="I89" s="6">
        <v>40000</v>
      </c>
    </row>
    <row r="90" spans="1:9" s="409" customFormat="1">
      <c r="A90" s="460">
        <v>67</v>
      </c>
      <c r="B90" s="482"/>
      <c r="C90" s="482"/>
      <c r="D90" s="464" t="s">
        <v>282</v>
      </c>
      <c r="E90" s="483"/>
      <c r="F90" s="465"/>
      <c r="G90" s="465"/>
      <c r="H90" s="465" t="e">
        <f>H89+F90-G90</f>
        <v>#REF!</v>
      </c>
      <c r="I90" s="410"/>
    </row>
    <row r="91" spans="1:9" s="409" customFormat="1">
      <c r="A91" s="460">
        <v>68</v>
      </c>
      <c r="B91" s="482"/>
      <c r="C91" s="482"/>
      <c r="D91" s="464" t="s">
        <v>265</v>
      </c>
      <c r="E91" s="483"/>
      <c r="F91" s="465"/>
      <c r="G91" s="465"/>
      <c r="H91" s="465" t="e">
        <f>H90+F91-G91</f>
        <v>#REF!</v>
      </c>
      <c r="I91" s="410"/>
    </row>
    <row r="92" spans="1:9" s="409" customFormat="1">
      <c r="A92" s="460">
        <v>69</v>
      </c>
      <c r="B92" s="484"/>
      <c r="C92" s="484"/>
      <c r="D92" s="486" t="s">
        <v>287</v>
      </c>
      <c r="E92" s="580" t="s">
        <v>309</v>
      </c>
      <c r="F92" s="485"/>
      <c r="G92" s="485">
        <f>2800000/7</f>
        <v>400000</v>
      </c>
      <c r="H92" s="465" t="e">
        <f>H91+F92-G92</f>
        <v>#REF!</v>
      </c>
      <c r="I92" s="410"/>
    </row>
    <row r="93" spans="1:9" s="409" customFormat="1">
      <c r="A93" s="460">
        <v>70</v>
      </c>
      <c r="B93" s="482"/>
      <c r="C93" s="465">
        <v>120000</v>
      </c>
      <c r="D93" s="464" t="s">
        <v>291</v>
      </c>
      <c r="E93" s="483">
        <v>2</v>
      </c>
      <c r="F93" s="465"/>
      <c r="G93" s="465">
        <f t="shared" ref="G93:G94" si="5">C93*E93</f>
        <v>240000</v>
      </c>
      <c r="H93" s="465" t="e">
        <f>H92+F93-G93</f>
        <v>#REF!</v>
      </c>
      <c r="I93" s="410"/>
    </row>
    <row r="94" spans="1:9" s="409" customFormat="1">
      <c r="A94" s="460">
        <v>71</v>
      </c>
      <c r="B94" s="484"/>
      <c r="C94" s="485">
        <v>50000</v>
      </c>
      <c r="D94" s="486" t="s">
        <v>290</v>
      </c>
      <c r="E94" s="675">
        <v>5</v>
      </c>
      <c r="F94" s="485"/>
      <c r="G94" s="485">
        <f t="shared" si="5"/>
        <v>250000</v>
      </c>
      <c r="H94" s="465" t="e">
        <f>H93+F94-G94</f>
        <v>#REF!</v>
      </c>
      <c r="I94" s="410"/>
    </row>
    <row r="95" spans="1:9" s="409" customFormat="1">
      <c r="A95" s="460">
        <v>72</v>
      </c>
      <c r="B95" s="484"/>
      <c r="C95" s="485">
        <v>16000</v>
      </c>
      <c r="D95" s="486" t="s">
        <v>310</v>
      </c>
      <c r="E95" s="675">
        <v>12</v>
      </c>
      <c r="F95" s="485"/>
      <c r="G95" s="485">
        <f t="shared" ref="G95" si="6">C95*E95</f>
        <v>192000</v>
      </c>
      <c r="H95" s="465" t="e">
        <f>H94+F95-G95</f>
        <v>#REF!</v>
      </c>
      <c r="I95" s="410"/>
    </row>
    <row r="96" spans="1:9" s="409" customFormat="1">
      <c r="A96" s="460">
        <v>73</v>
      </c>
      <c r="B96" s="484"/>
      <c r="C96" s="485">
        <v>43000</v>
      </c>
      <c r="D96" s="486" t="s">
        <v>311</v>
      </c>
      <c r="E96" s="675">
        <v>1</v>
      </c>
      <c r="F96" s="485"/>
      <c r="G96" s="485">
        <f t="shared" ref="G96" si="7">C96*E96</f>
        <v>43000</v>
      </c>
      <c r="H96" s="465" t="e">
        <f>H95+F96-G96</f>
        <v>#REF!</v>
      </c>
      <c r="I96" s="410"/>
    </row>
    <row r="97" spans="1:9" s="409" customFormat="1">
      <c r="A97" s="460">
        <v>74</v>
      </c>
      <c r="B97" s="464"/>
      <c r="C97" s="465">
        <v>400000</v>
      </c>
      <c r="D97" s="482" t="s">
        <v>302</v>
      </c>
      <c r="E97" s="675">
        <v>2</v>
      </c>
      <c r="F97" s="465"/>
      <c r="G97" s="487">
        <f>C97*E97</f>
        <v>800000</v>
      </c>
      <c r="H97" s="465" t="e">
        <f>H96+F97-G97</f>
        <v>#REF!</v>
      </c>
      <c r="I97" s="410"/>
    </row>
    <row r="98" spans="1:9">
      <c r="A98" s="835">
        <v>75</v>
      </c>
      <c r="B98" s="231"/>
      <c r="C98" s="231"/>
      <c r="D98" s="219" t="s">
        <v>283</v>
      </c>
      <c r="E98" s="816">
        <v>1</v>
      </c>
      <c r="F98" s="220"/>
      <c r="G98" s="220"/>
      <c r="H98" s="220" t="e">
        <f>H97+F98-G98</f>
        <v>#REF!</v>
      </c>
      <c r="I98" s="6"/>
    </row>
    <row r="99" spans="1:9">
      <c r="A99" s="835">
        <v>76</v>
      </c>
      <c r="B99" s="233"/>
      <c r="C99" s="233"/>
      <c r="D99" s="232" t="s">
        <v>284</v>
      </c>
      <c r="E99" s="471"/>
      <c r="F99" s="234"/>
      <c r="G99" s="234"/>
      <c r="H99" s="234" t="e">
        <f>H98+F99-G99</f>
        <v>#REF!</v>
      </c>
      <c r="I99" s="6"/>
    </row>
    <row r="100" spans="1:9">
      <c r="A100" s="835">
        <v>77</v>
      </c>
      <c r="B100" s="231"/>
      <c r="C100" s="231"/>
      <c r="D100" s="219" t="s">
        <v>305</v>
      </c>
      <c r="E100" s="480" t="s">
        <v>312</v>
      </c>
      <c r="F100" s="220"/>
      <c r="G100" s="220">
        <v>400000</v>
      </c>
      <c r="H100" s="220" t="e">
        <f>H99+F100-G100</f>
        <v>#REF!</v>
      </c>
      <c r="I100" s="6"/>
    </row>
    <row r="101" spans="1:9">
      <c r="A101" s="835">
        <v>78</v>
      </c>
      <c r="B101" s="231">
        <v>44006</v>
      </c>
      <c r="C101" s="220">
        <v>4000</v>
      </c>
      <c r="D101" s="219" t="s">
        <v>313</v>
      </c>
      <c r="E101" s="816">
        <v>20</v>
      </c>
      <c r="F101" s="220"/>
      <c r="G101" s="220">
        <f>C101*E101</f>
        <v>80000</v>
      </c>
      <c r="H101" s="220" t="e">
        <f>H100+F101-G101</f>
        <v>#REF!</v>
      </c>
      <c r="I101" s="6"/>
    </row>
    <row r="102" spans="1:9">
      <c r="A102" s="835">
        <v>79</v>
      </c>
      <c r="B102" s="231">
        <v>44006</v>
      </c>
      <c r="C102" s="220">
        <v>35000</v>
      </c>
      <c r="D102" s="219" t="s">
        <v>314</v>
      </c>
      <c r="E102" s="816">
        <v>2</v>
      </c>
      <c r="F102" s="220"/>
      <c r="G102" s="220">
        <f>C102*E102</f>
        <v>70000</v>
      </c>
      <c r="H102" s="220" t="e">
        <f>H101+F102-G102</f>
        <v>#REF!</v>
      </c>
      <c r="I102" s="6"/>
    </row>
    <row r="103" spans="1:9">
      <c r="A103" s="835">
        <v>80</v>
      </c>
      <c r="B103" s="231">
        <v>43947</v>
      </c>
      <c r="C103" s="220">
        <v>45000</v>
      </c>
      <c r="D103" s="219" t="s">
        <v>314</v>
      </c>
      <c r="E103" s="816">
        <v>2</v>
      </c>
      <c r="F103" s="220"/>
      <c r="G103" s="220">
        <f>C103*E103</f>
        <v>90000</v>
      </c>
      <c r="H103" s="220" t="e">
        <f>H102+F103-G103</f>
        <v>#REF!</v>
      </c>
      <c r="I103" s="6"/>
    </row>
    <row r="104" spans="1:9">
      <c r="A104" s="835">
        <v>81</v>
      </c>
      <c r="B104" s="231">
        <v>44006</v>
      </c>
      <c r="C104" s="220">
        <v>122000</v>
      </c>
      <c r="D104" s="219" t="s">
        <v>315</v>
      </c>
      <c r="E104" s="816">
        <v>2</v>
      </c>
      <c r="F104" s="220"/>
      <c r="G104" s="220">
        <f t="shared" ref="G104:G108" si="8">C104*E104</f>
        <v>244000</v>
      </c>
      <c r="H104" s="220" t="e">
        <f>H103+F104-G104</f>
        <v>#REF!</v>
      </c>
      <c r="I104" s="6"/>
    </row>
    <row r="105" spans="1:9">
      <c r="A105" s="835">
        <v>82</v>
      </c>
      <c r="B105" s="231">
        <v>44006</v>
      </c>
      <c r="C105" s="220">
        <v>82000</v>
      </c>
      <c r="D105" s="219" t="s">
        <v>316</v>
      </c>
      <c r="E105" s="816">
        <v>4</v>
      </c>
      <c r="F105" s="220"/>
      <c r="G105" s="220">
        <f t="shared" si="8"/>
        <v>328000</v>
      </c>
      <c r="H105" s="220" t="e">
        <f>H104+F105-G105</f>
        <v>#REF!</v>
      </c>
      <c r="I105" s="6"/>
    </row>
    <row r="106" spans="1:9">
      <c r="A106" s="835">
        <v>83</v>
      </c>
      <c r="B106" s="231">
        <v>44006</v>
      </c>
      <c r="C106" s="220">
        <v>12000</v>
      </c>
      <c r="D106" s="219" t="s">
        <v>317</v>
      </c>
      <c r="E106" s="816">
        <v>20</v>
      </c>
      <c r="F106" s="220"/>
      <c r="G106" s="220">
        <f t="shared" si="8"/>
        <v>240000</v>
      </c>
      <c r="H106" s="220" t="e">
        <f>H105+F106-G106</f>
        <v>#REF!</v>
      </c>
      <c r="I106" s="6"/>
    </row>
    <row r="107" spans="1:9">
      <c r="A107" s="835">
        <v>84</v>
      </c>
      <c r="B107" s="231">
        <v>44006</v>
      </c>
      <c r="C107" s="220">
        <f>35000/2</f>
        <v>17500</v>
      </c>
      <c r="D107" s="219" t="s">
        <v>318</v>
      </c>
      <c r="E107" s="816">
        <v>1</v>
      </c>
      <c r="F107" s="220"/>
      <c r="G107" s="220">
        <f t="shared" si="8"/>
        <v>17500</v>
      </c>
      <c r="H107" s="220" t="e">
        <f>H106+F107-G107</f>
        <v>#REF!</v>
      </c>
      <c r="I107" s="6"/>
    </row>
    <row r="108" spans="1:9">
      <c r="A108" s="835">
        <v>85</v>
      </c>
      <c r="B108" s="231">
        <v>44006</v>
      </c>
      <c r="C108" s="220">
        <v>17500</v>
      </c>
      <c r="D108" s="219" t="s">
        <v>319</v>
      </c>
      <c r="E108" s="816">
        <v>1</v>
      </c>
      <c r="F108" s="220"/>
      <c r="G108" s="220">
        <f t="shared" si="8"/>
        <v>17500</v>
      </c>
      <c r="H108" s="220" t="e">
        <f>H107+F108-G108</f>
        <v>#REF!</v>
      </c>
      <c r="I108" s="6"/>
    </row>
    <row r="109" spans="1:9">
      <c r="A109" s="835"/>
      <c r="B109" s="71"/>
      <c r="C109" s="71"/>
      <c r="D109" s="835" t="s">
        <v>59</v>
      </c>
      <c r="F109" s="6" t="e">
        <f>SUM(F89:F108)</f>
        <v>#REF!</v>
      </c>
      <c r="G109" s="6">
        <f>SUM(G89:G108)</f>
        <v>3412000</v>
      </c>
      <c r="H109" s="563" t="e">
        <f>H88+F109-G109</f>
        <v>#REF!</v>
      </c>
    </row>
    <row r="110" spans="1:9">
      <c r="A110" s="835"/>
      <c r="B110" s="955" t="s">
        <v>320</v>
      </c>
      <c r="C110" s="955"/>
      <c r="D110" s="955"/>
      <c r="E110" s="955"/>
      <c r="F110" s="955"/>
      <c r="G110" s="955"/>
      <c r="H110" s="955"/>
      <c r="I110" s="51" t="s">
        <v>261</v>
      </c>
    </row>
    <row r="111" spans="1:9">
      <c r="A111" s="835"/>
      <c r="B111" s="390" t="s">
        <v>250</v>
      </c>
      <c r="C111" s="390" t="s">
        <v>251</v>
      </c>
      <c r="D111" s="429" t="s">
        <v>252</v>
      </c>
      <c r="E111" s="390" t="s">
        <v>253</v>
      </c>
      <c r="F111" s="51" t="s">
        <v>254</v>
      </c>
      <c r="G111" s="208" t="s">
        <v>255</v>
      </c>
      <c r="H111" s="563">
        <v>-1017599</v>
      </c>
    </row>
    <row r="112" spans="1:9">
      <c r="A112" s="446">
        <v>86</v>
      </c>
      <c r="B112" s="436">
        <v>44081</v>
      </c>
      <c r="C112" s="436"/>
      <c r="D112" s="439" t="s">
        <v>321</v>
      </c>
      <c r="E112" s="475">
        <v>1</v>
      </c>
      <c r="F112" s="438">
        <v>1000000</v>
      </c>
      <c r="G112" s="438"/>
      <c r="H112" s="438">
        <f>H111+F112-G112</f>
        <v>-17599</v>
      </c>
      <c r="I112" s="6" t="e">
        <f>#REF!*#REF!</f>
        <v>#REF!</v>
      </c>
    </row>
    <row r="113" spans="1:9" s="409" customFormat="1">
      <c r="A113" s="460">
        <v>87</v>
      </c>
      <c r="B113" s="482"/>
      <c r="C113" s="482"/>
      <c r="D113" s="464" t="s">
        <v>282</v>
      </c>
      <c r="E113" s="483"/>
      <c r="F113" s="465"/>
      <c r="G113" s="465"/>
      <c r="H113" s="465">
        <f>H112+F113-G113</f>
        <v>-17599</v>
      </c>
      <c r="I113" s="410"/>
    </row>
    <row r="114" spans="1:9" s="409" customFormat="1">
      <c r="A114" s="460">
        <v>88</v>
      </c>
      <c r="B114" s="482"/>
      <c r="C114" s="482"/>
      <c r="D114" s="464" t="s">
        <v>265</v>
      </c>
      <c r="E114" s="483"/>
      <c r="F114" s="465"/>
      <c r="G114" s="465"/>
      <c r="H114" s="465">
        <f>H113+F114-G114</f>
        <v>-17599</v>
      </c>
      <c r="I114" s="410"/>
    </row>
    <row r="115" spans="1:9" s="409" customFormat="1">
      <c r="A115" s="460">
        <v>89</v>
      </c>
      <c r="B115" s="484"/>
      <c r="C115" s="484"/>
      <c r="D115" s="486" t="s">
        <v>287</v>
      </c>
      <c r="E115" s="580" t="s">
        <v>322</v>
      </c>
      <c r="F115" s="485"/>
      <c r="G115" s="485">
        <f>2800000/7</f>
        <v>400000</v>
      </c>
      <c r="H115" s="485">
        <f>H114+F115-G115</f>
        <v>-417599</v>
      </c>
      <c r="I115" s="410"/>
    </row>
    <row r="116" spans="1:9" s="409" customFormat="1">
      <c r="A116" s="460">
        <v>90</v>
      </c>
      <c r="B116" s="484">
        <v>44054</v>
      </c>
      <c r="C116" s="484"/>
      <c r="D116" s="486" t="s">
        <v>323</v>
      </c>
      <c r="E116" s="580">
        <v>1</v>
      </c>
      <c r="F116" s="485"/>
      <c r="G116" s="485">
        <v>40000</v>
      </c>
      <c r="H116" s="485">
        <f>H115+F116-G116</f>
        <v>-457599</v>
      </c>
      <c r="I116" s="410"/>
    </row>
    <row r="117" spans="1:9">
      <c r="A117" s="835">
        <v>91</v>
      </c>
      <c r="B117" s="233">
        <v>44054</v>
      </c>
      <c r="C117" s="233"/>
      <c r="D117" s="232" t="s">
        <v>283</v>
      </c>
      <c r="E117" s="471">
        <v>1</v>
      </c>
      <c r="F117" s="234"/>
      <c r="G117" s="234">
        <v>20000</v>
      </c>
      <c r="H117" s="234">
        <f>H116+F117-G117</f>
        <v>-477599</v>
      </c>
      <c r="I117" s="6"/>
    </row>
    <row r="118" spans="1:9">
      <c r="A118" s="835">
        <v>92</v>
      </c>
      <c r="B118" s="231"/>
      <c r="C118" s="231"/>
      <c r="D118" s="219" t="s">
        <v>284</v>
      </c>
      <c r="E118" s="816"/>
      <c r="F118" s="220"/>
      <c r="G118" s="220"/>
      <c r="H118" s="220">
        <f>H117+F118-G118</f>
        <v>-477599</v>
      </c>
      <c r="I118" s="6"/>
    </row>
    <row r="119" spans="1:9">
      <c r="A119" s="835">
        <v>93</v>
      </c>
      <c r="B119" s="231"/>
      <c r="C119" s="231"/>
      <c r="D119" s="219" t="s">
        <v>305</v>
      </c>
      <c r="E119" s="480" t="s">
        <v>324</v>
      </c>
      <c r="F119" s="220"/>
      <c r="G119" s="220">
        <v>400000</v>
      </c>
      <c r="H119" s="220">
        <f>H118+F119-G119</f>
        <v>-877599</v>
      </c>
      <c r="I119" s="6"/>
    </row>
    <row r="120" spans="1:9">
      <c r="A120" s="835">
        <v>94</v>
      </c>
      <c r="B120" s="231">
        <v>44054</v>
      </c>
      <c r="C120" s="231"/>
      <c r="D120" s="219" t="s">
        <v>325</v>
      </c>
      <c r="E120" s="816">
        <v>1</v>
      </c>
      <c r="F120" s="220"/>
      <c r="G120" s="220">
        <v>50000</v>
      </c>
      <c r="H120" s="220">
        <f>H119+F120-G120</f>
        <v>-927599</v>
      </c>
      <c r="I120" s="6"/>
    </row>
    <row r="121" spans="1:9">
      <c r="A121" s="835"/>
      <c r="B121" s="71"/>
      <c r="C121" s="71"/>
      <c r="D121" s="835" t="s">
        <v>59</v>
      </c>
      <c r="F121" s="6">
        <f>SUM(F112:F120)</f>
        <v>1000000</v>
      </c>
      <c r="G121" s="6">
        <f>SUM(G112:G120)</f>
        <v>910000</v>
      </c>
      <c r="H121" s="563">
        <f>H111+F121-G121</f>
        <v>-927599</v>
      </c>
    </row>
    <row r="122" spans="1:9">
      <c r="A122" s="835"/>
      <c r="B122" s="956" t="s">
        <v>326</v>
      </c>
      <c r="C122" s="956"/>
      <c r="D122" s="956"/>
      <c r="E122" s="956"/>
      <c r="F122" s="956"/>
      <c r="G122" s="956"/>
      <c r="H122" s="956"/>
      <c r="I122" s="51" t="s">
        <v>261</v>
      </c>
    </row>
    <row r="123" spans="1:9">
      <c r="A123" s="835"/>
      <c r="B123" s="390" t="s">
        <v>250</v>
      </c>
      <c r="C123" s="390" t="s">
        <v>251</v>
      </c>
      <c r="D123" s="429" t="s">
        <v>252</v>
      </c>
      <c r="E123" s="390" t="s">
        <v>253</v>
      </c>
      <c r="F123" s="51" t="s">
        <v>254</v>
      </c>
      <c r="G123" s="208" t="s">
        <v>255</v>
      </c>
      <c r="H123" s="563">
        <v>-927599</v>
      </c>
    </row>
    <row r="124" spans="1:9">
      <c r="A124" s="446">
        <v>95</v>
      </c>
      <c r="B124" s="436">
        <v>44109</v>
      </c>
      <c r="C124" s="436"/>
      <c r="D124" s="439" t="s">
        <v>327</v>
      </c>
      <c r="E124" s="475"/>
      <c r="F124" s="438">
        <v>1000000</v>
      </c>
      <c r="G124" s="438"/>
      <c r="H124" s="438">
        <f>H123+F124-G124</f>
        <v>72401</v>
      </c>
      <c r="I124" s="6" t="e">
        <f>#REF!*#REF!</f>
        <v>#REF!</v>
      </c>
    </row>
    <row r="125" spans="1:9" s="409" customFormat="1">
      <c r="A125" s="460">
        <v>96</v>
      </c>
      <c r="B125" s="482"/>
      <c r="C125" s="482"/>
      <c r="D125" s="464" t="s">
        <v>282</v>
      </c>
      <c r="E125" s="483"/>
      <c r="F125" s="465"/>
      <c r="G125" s="465"/>
      <c r="H125" s="465">
        <f>H124+F125-G125</f>
        <v>72401</v>
      </c>
      <c r="I125" s="410"/>
    </row>
    <row r="126" spans="1:9" s="409" customFormat="1">
      <c r="A126" s="460">
        <v>97</v>
      </c>
      <c r="B126" s="482"/>
      <c r="C126" s="482"/>
      <c r="D126" s="464" t="s">
        <v>265</v>
      </c>
      <c r="E126" s="483"/>
      <c r="F126" s="465"/>
      <c r="G126" s="465"/>
      <c r="H126" s="465">
        <f>H125+F126-G126</f>
        <v>72401</v>
      </c>
      <c r="I126" s="410"/>
    </row>
    <row r="127" spans="1:9" s="409" customFormat="1">
      <c r="A127" s="460">
        <v>98</v>
      </c>
      <c r="B127" s="482"/>
      <c r="C127" s="482"/>
      <c r="D127" s="464" t="s">
        <v>287</v>
      </c>
      <c r="E127" s="581" t="s">
        <v>328</v>
      </c>
      <c r="F127" s="465"/>
      <c r="G127" s="465">
        <f>2800000/7</f>
        <v>400000</v>
      </c>
      <c r="H127" s="465">
        <f>H126+F127-G127</f>
        <v>-327599</v>
      </c>
      <c r="I127" s="410"/>
    </row>
    <row r="128" spans="1:9">
      <c r="A128" s="835">
        <v>99</v>
      </c>
      <c r="B128" s="231">
        <v>44077</v>
      </c>
      <c r="C128" s="231"/>
      <c r="D128" s="219" t="s">
        <v>283</v>
      </c>
      <c r="E128" s="816">
        <v>1</v>
      </c>
      <c r="F128" s="220"/>
      <c r="G128" s="220">
        <v>20000</v>
      </c>
      <c r="H128" s="220">
        <f>H127+F128-G128</f>
        <v>-347599</v>
      </c>
      <c r="I128" s="6"/>
    </row>
    <row r="129" spans="1:9">
      <c r="A129" s="835">
        <v>100</v>
      </c>
      <c r="B129" s="231"/>
      <c r="C129" s="231"/>
      <c r="D129" s="219" t="s">
        <v>284</v>
      </c>
      <c r="E129" s="816"/>
      <c r="F129" s="220"/>
      <c r="G129" s="220"/>
      <c r="H129" s="220">
        <f>H128+F129-G129</f>
        <v>-347599</v>
      </c>
      <c r="I129" s="6"/>
    </row>
    <row r="130" spans="1:9">
      <c r="A130" s="835">
        <v>101</v>
      </c>
      <c r="B130" s="231"/>
      <c r="C130" s="231"/>
      <c r="D130" s="219" t="s">
        <v>305</v>
      </c>
      <c r="E130" s="480" t="s">
        <v>329</v>
      </c>
      <c r="F130" s="220"/>
      <c r="G130" s="220">
        <v>400000</v>
      </c>
      <c r="H130" s="220">
        <f>H129+F130-G130</f>
        <v>-747599</v>
      </c>
      <c r="I130" s="6"/>
    </row>
    <row r="131" spans="1:9">
      <c r="A131" s="835"/>
      <c r="B131" s="71"/>
      <c r="C131" s="71"/>
      <c r="D131" s="835" t="s">
        <v>59</v>
      </c>
      <c r="F131" s="6">
        <f>SUM(F124:F130)</f>
        <v>1000000</v>
      </c>
      <c r="G131" s="6">
        <f>SUM(G124:G130)</f>
        <v>820000</v>
      </c>
      <c r="H131" s="563">
        <f>H123+F131-G131</f>
        <v>-747599</v>
      </c>
    </row>
    <row r="132" spans="1:9">
      <c r="A132" s="835"/>
      <c r="B132" s="943" t="s">
        <v>330</v>
      </c>
      <c r="C132" s="943"/>
      <c r="D132" s="943"/>
      <c r="E132" s="943"/>
      <c r="F132" s="943"/>
      <c r="G132" s="943"/>
      <c r="H132" s="943"/>
      <c r="I132" s="51" t="s">
        <v>261</v>
      </c>
    </row>
    <row r="133" spans="1:9">
      <c r="A133" s="835"/>
      <c r="B133" s="390" t="s">
        <v>250</v>
      </c>
      <c r="C133" s="390" t="s">
        <v>251</v>
      </c>
      <c r="D133" s="429" t="s">
        <v>252</v>
      </c>
      <c r="E133" s="390" t="s">
        <v>253</v>
      </c>
      <c r="F133" s="51" t="s">
        <v>254</v>
      </c>
      <c r="G133" s="208" t="s">
        <v>255</v>
      </c>
      <c r="H133" s="563">
        <v>-747599</v>
      </c>
    </row>
    <row r="134" spans="1:9">
      <c r="A134" s="446">
        <v>102</v>
      </c>
      <c r="B134" s="436">
        <v>44137</v>
      </c>
      <c r="C134" s="436"/>
      <c r="D134" s="439" t="s">
        <v>331</v>
      </c>
      <c r="E134" s="475"/>
      <c r="F134" s="438" t="e">
        <f>I134*#REF!</f>
        <v>#REF!</v>
      </c>
      <c r="G134" s="438"/>
      <c r="H134" s="438" t="e">
        <f>H133+F134-G134</f>
        <v>#REF!</v>
      </c>
      <c r="I134" s="6">
        <v>20000</v>
      </c>
    </row>
    <row r="135" spans="1:9" s="409" customFormat="1">
      <c r="A135" s="460">
        <v>103</v>
      </c>
      <c r="B135" s="484"/>
      <c r="C135" s="484"/>
      <c r="D135" s="486" t="s">
        <v>282</v>
      </c>
      <c r="E135" s="675"/>
      <c r="F135" s="485"/>
      <c r="G135" s="485"/>
      <c r="H135" s="485" t="e">
        <f>H134+F135-G135</f>
        <v>#REF!</v>
      </c>
      <c r="I135" s="410"/>
    </row>
    <row r="136" spans="1:9" s="409" customFormat="1">
      <c r="A136" s="460">
        <v>104</v>
      </c>
      <c r="B136" s="484"/>
      <c r="C136" s="484"/>
      <c r="D136" s="486" t="s">
        <v>265</v>
      </c>
      <c r="E136" s="675"/>
      <c r="F136" s="485"/>
      <c r="G136" s="485"/>
      <c r="H136" s="485" t="e">
        <f>H135+F136-G136</f>
        <v>#REF!</v>
      </c>
      <c r="I136" s="410"/>
    </row>
    <row r="137" spans="1:9" s="409" customFormat="1">
      <c r="A137" s="460">
        <v>105</v>
      </c>
      <c r="B137" s="482"/>
      <c r="C137" s="482"/>
      <c r="D137" s="464" t="s">
        <v>287</v>
      </c>
      <c r="E137" s="581" t="s">
        <v>332</v>
      </c>
      <c r="F137" s="465"/>
      <c r="G137" s="465">
        <f>2800000/7</f>
        <v>400000</v>
      </c>
      <c r="H137" s="465" t="e">
        <f>H136+F137-G137</f>
        <v>#REF!</v>
      </c>
      <c r="I137" s="410"/>
    </row>
    <row r="138" spans="1:9">
      <c r="A138" s="835">
        <v>106</v>
      </c>
      <c r="B138" s="231"/>
      <c r="C138" s="231"/>
      <c r="D138" s="219" t="s">
        <v>283</v>
      </c>
      <c r="E138" s="816"/>
      <c r="F138" s="220"/>
      <c r="G138" s="220"/>
      <c r="H138" s="220" t="e">
        <f>H137+F138-G138</f>
        <v>#REF!</v>
      </c>
      <c r="I138" s="6"/>
    </row>
    <row r="139" spans="1:9">
      <c r="A139" s="835">
        <v>107</v>
      </c>
      <c r="B139" s="231"/>
      <c r="C139" s="231"/>
      <c r="D139" s="219" t="s">
        <v>284</v>
      </c>
      <c r="E139" s="816"/>
      <c r="F139" s="220"/>
      <c r="G139" s="220"/>
      <c r="H139" s="220" t="e">
        <f>H138+F139-G139</f>
        <v>#REF!</v>
      </c>
      <c r="I139" s="6"/>
    </row>
    <row r="140" spans="1:9">
      <c r="A140" s="835"/>
      <c r="B140" s="71"/>
      <c r="C140" s="71"/>
      <c r="D140" s="835" t="s">
        <v>59</v>
      </c>
      <c r="F140" s="6" t="e">
        <f>SUM(F134:F139)</f>
        <v>#REF!</v>
      </c>
      <c r="G140" s="6">
        <f>SUM(G134:G139)</f>
        <v>400000</v>
      </c>
      <c r="H140" s="556" t="e">
        <f>H133+F140-G140</f>
        <v>#REF!</v>
      </c>
    </row>
    <row r="141" spans="1:9" ht="15">
      <c r="A141" s="835"/>
      <c r="B141" s="957" t="s">
        <v>333</v>
      </c>
      <c r="C141" s="958"/>
      <c r="D141" s="958"/>
      <c r="E141" s="958"/>
      <c r="F141" s="958"/>
      <c r="G141" s="958"/>
      <c r="H141" s="958"/>
      <c r="I141" s="51" t="s">
        <v>261</v>
      </c>
    </row>
    <row r="142" spans="1:9">
      <c r="A142" s="835"/>
      <c r="B142" s="390" t="s">
        <v>250</v>
      </c>
      <c r="C142" s="390" t="s">
        <v>251</v>
      </c>
      <c r="D142" s="429" t="s">
        <v>252</v>
      </c>
      <c r="E142" s="390" t="s">
        <v>253</v>
      </c>
      <c r="F142" s="51" t="s">
        <v>254</v>
      </c>
      <c r="G142" s="208" t="s">
        <v>255</v>
      </c>
      <c r="H142" s="556">
        <v>-147599</v>
      </c>
    </row>
    <row r="143" spans="1:9">
      <c r="A143" s="446">
        <v>108</v>
      </c>
      <c r="B143" s="436">
        <v>44122</v>
      </c>
      <c r="C143" s="438"/>
      <c r="D143" s="439" t="s">
        <v>299</v>
      </c>
      <c r="E143" s="475"/>
      <c r="F143" s="438">
        <v>3000000</v>
      </c>
      <c r="G143" s="438"/>
      <c r="H143" s="438">
        <f>H142+F143-G143</f>
        <v>2852401</v>
      </c>
      <c r="I143" s="6">
        <v>20000</v>
      </c>
    </row>
    <row r="144" spans="1:9" s="409" customFormat="1">
      <c r="A144" s="460">
        <v>109</v>
      </c>
      <c r="B144" s="482">
        <v>44182</v>
      </c>
      <c r="C144" s="708" t="s">
        <v>334</v>
      </c>
      <c r="D144" s="464" t="s">
        <v>335</v>
      </c>
      <c r="E144" s="483"/>
      <c r="F144" s="465"/>
      <c r="G144" s="465">
        <v>17140</v>
      </c>
      <c r="H144" s="438">
        <f>H143+F144-G144</f>
        <v>2835261</v>
      </c>
      <c r="I144" s="410"/>
    </row>
    <row r="145" spans="1:9" s="409" customFormat="1">
      <c r="A145" s="446">
        <v>110</v>
      </c>
      <c r="B145" s="482">
        <v>44181</v>
      </c>
      <c r="C145" s="708" t="s">
        <v>336</v>
      </c>
      <c r="D145" s="464" t="s">
        <v>337</v>
      </c>
      <c r="E145" s="483"/>
      <c r="F145" s="465"/>
      <c r="G145" s="465">
        <v>29700</v>
      </c>
      <c r="H145" s="438">
        <f>H144+F145-G145</f>
        <v>2805561</v>
      </c>
      <c r="I145" s="410"/>
    </row>
    <row r="146" spans="1:9" s="409" customFormat="1">
      <c r="A146" s="460">
        <v>111</v>
      </c>
      <c r="B146" s="484"/>
      <c r="C146" s="485"/>
      <c r="D146" s="486" t="s">
        <v>287</v>
      </c>
      <c r="E146" s="580" t="s">
        <v>338</v>
      </c>
      <c r="F146" s="485"/>
      <c r="G146" s="485">
        <f>2800000/7</f>
        <v>400000</v>
      </c>
      <c r="H146" s="438">
        <f>H145+F146-G146</f>
        <v>2405561</v>
      </c>
      <c r="I146" s="410"/>
    </row>
    <row r="147" spans="1:9" s="409" customFormat="1">
      <c r="A147" s="446">
        <v>112</v>
      </c>
      <c r="B147" s="484">
        <v>44160</v>
      </c>
      <c r="C147" s="485">
        <v>48700</v>
      </c>
      <c r="D147" s="486" t="s">
        <v>339</v>
      </c>
      <c r="E147" s="580">
        <v>30</v>
      </c>
      <c r="F147" s="485"/>
      <c r="G147" s="485">
        <f>C147*E147</f>
        <v>1461000</v>
      </c>
      <c r="H147" s="438">
        <f>H146+F147-G147</f>
        <v>944561</v>
      </c>
      <c r="I147" s="410"/>
    </row>
    <row r="148" spans="1:9" s="409" customFormat="1">
      <c r="A148" s="460">
        <v>113</v>
      </c>
      <c r="B148" s="484">
        <v>44160</v>
      </c>
      <c r="C148" s="485">
        <v>100000</v>
      </c>
      <c r="D148" s="486" t="s">
        <v>294</v>
      </c>
      <c r="E148" s="580">
        <v>1</v>
      </c>
      <c r="F148" s="485"/>
      <c r="G148" s="485">
        <f>C148*E148</f>
        <v>100000</v>
      </c>
      <c r="H148" s="438">
        <f>H147+F148-G148</f>
        <v>844561</v>
      </c>
      <c r="I148" s="410"/>
    </row>
    <row r="149" spans="1:9" s="409" customFormat="1">
      <c r="A149" s="446">
        <v>114</v>
      </c>
      <c r="B149" s="484">
        <v>44160</v>
      </c>
      <c r="C149" s="485">
        <v>56000</v>
      </c>
      <c r="D149" s="486" t="s">
        <v>340</v>
      </c>
      <c r="E149" s="580">
        <v>5</v>
      </c>
      <c r="F149" s="485"/>
      <c r="G149" s="485">
        <f>C149*E149</f>
        <v>280000</v>
      </c>
      <c r="H149" s="438">
        <f>H148+F149-G149</f>
        <v>564561</v>
      </c>
      <c r="I149" s="410">
        <f>280000/5</f>
        <v>56000</v>
      </c>
    </row>
    <row r="150" spans="1:9">
      <c r="A150" s="460">
        <v>115</v>
      </c>
      <c r="B150" s="231">
        <v>44119</v>
      </c>
      <c r="C150" s="220">
        <v>20000</v>
      </c>
      <c r="D150" s="219" t="s">
        <v>283</v>
      </c>
      <c r="E150" s="816">
        <v>2</v>
      </c>
      <c r="F150" s="220"/>
      <c r="G150" s="220">
        <f>C150*E150</f>
        <v>40000</v>
      </c>
      <c r="H150" s="438">
        <f>H149+F150-G150</f>
        <v>524561</v>
      </c>
      <c r="I150" s="6"/>
    </row>
    <row r="151" spans="1:9">
      <c r="A151" s="446">
        <v>116</v>
      </c>
      <c r="B151" s="231">
        <v>44168</v>
      </c>
      <c r="C151" s="220">
        <v>16500</v>
      </c>
      <c r="D151" s="219" t="s">
        <v>284</v>
      </c>
      <c r="E151" s="816">
        <v>2</v>
      </c>
      <c r="F151" s="220"/>
      <c r="G151" s="220">
        <f>C151*E151</f>
        <v>33000</v>
      </c>
      <c r="H151" s="438">
        <f>H150+F151-G151</f>
        <v>491561</v>
      </c>
      <c r="I151" s="6"/>
    </row>
    <row r="152" spans="1:9">
      <c r="A152" s="460">
        <v>117</v>
      </c>
      <c r="B152" s="233">
        <v>44084</v>
      </c>
      <c r="C152" s="234">
        <v>20000</v>
      </c>
      <c r="D152" s="232" t="s">
        <v>341</v>
      </c>
      <c r="E152" s="471">
        <v>8</v>
      </c>
      <c r="F152" s="234"/>
      <c r="G152" s="234">
        <f>C152*E152</f>
        <v>160000</v>
      </c>
      <c r="H152" s="438">
        <f>H151+F152-G152</f>
        <v>331561</v>
      </c>
      <c r="I152" s="6"/>
    </row>
    <row r="153" spans="1:9">
      <c r="A153" s="446">
        <v>118</v>
      </c>
      <c r="B153" s="231">
        <v>44119</v>
      </c>
      <c r="C153" s="220">
        <v>50000</v>
      </c>
      <c r="D153" s="219" t="s">
        <v>342</v>
      </c>
      <c r="E153" s="816">
        <v>1</v>
      </c>
      <c r="F153" s="220"/>
      <c r="G153" s="220">
        <f>C153*E153</f>
        <v>50000</v>
      </c>
      <c r="H153" s="438">
        <f>H152+F153-G153</f>
        <v>281561</v>
      </c>
      <c r="I153" s="6"/>
    </row>
    <row r="154" spans="1:9">
      <c r="A154" s="460">
        <v>119</v>
      </c>
      <c r="B154" s="231">
        <v>44175</v>
      </c>
      <c r="C154" s="220">
        <v>40000</v>
      </c>
      <c r="D154" s="219" t="s">
        <v>343</v>
      </c>
      <c r="E154" s="816">
        <v>1</v>
      </c>
      <c r="F154" s="220"/>
      <c r="G154" s="220">
        <f>C154*E154</f>
        <v>40000</v>
      </c>
      <c r="H154" s="438">
        <f>H153+F154-G154</f>
        <v>241561</v>
      </c>
      <c r="I154" s="6"/>
    </row>
    <row r="155" spans="1:9" ht="15">
      <c r="A155" s="446">
        <v>120</v>
      </c>
      <c r="B155" s="561"/>
      <c r="C155" s="665"/>
      <c r="D155" s="648" t="s">
        <v>344</v>
      </c>
      <c r="E155" s="646">
        <v>1</v>
      </c>
      <c r="F155" s="647"/>
      <c r="G155" s="647"/>
      <c r="H155" s="438">
        <f>H154+F155-G155</f>
        <v>241561</v>
      </c>
      <c r="I155" s="6"/>
    </row>
    <row r="156" spans="1:9" ht="15">
      <c r="A156" s="460">
        <v>121</v>
      </c>
      <c r="B156" s="561">
        <v>44168</v>
      </c>
      <c r="C156" s="665">
        <v>100000</v>
      </c>
      <c r="D156" s="648" t="s">
        <v>323</v>
      </c>
      <c r="E156" s="646">
        <v>1</v>
      </c>
      <c r="F156" s="647"/>
      <c r="G156" s="647">
        <f>C156*E156</f>
        <v>100000</v>
      </c>
      <c r="H156" s="438">
        <f>H155+F156-G156</f>
        <v>141561</v>
      </c>
      <c r="I156" s="6"/>
    </row>
    <row r="157" spans="1:9">
      <c r="A157" s="835"/>
      <c r="B157" s="71"/>
      <c r="C157" s="71"/>
      <c r="D157" s="835" t="s">
        <v>59</v>
      </c>
      <c r="F157" s="6">
        <f>SUM(F143:F156)</f>
        <v>3000000</v>
      </c>
      <c r="G157" s="6">
        <f>SUM(G143:G156)</f>
        <v>2710840</v>
      </c>
      <c r="H157" s="667">
        <f>F157-G157+H142</f>
        <v>141561</v>
      </c>
    </row>
    <row r="158" spans="1:9">
      <c r="A158" s="835"/>
      <c r="B158" s="71"/>
      <c r="C158" s="71"/>
      <c r="D158" s="835"/>
      <c r="F158" s="6"/>
      <c r="G158" s="6"/>
      <c r="H158" s="562"/>
    </row>
    <row r="159" spans="1:9" ht="15">
      <c r="A159" s="835"/>
      <c r="B159" s="674" t="s">
        <v>162</v>
      </c>
      <c r="C159" s="432"/>
      <c r="D159" s="600" t="s">
        <v>345</v>
      </c>
      <c r="E159" s="600"/>
      <c r="F159" s="645" t="e">
        <f>F16+F31+F44+F54+F70+F86+F109+F121+F131+F140+F157</f>
        <v>#REF!</v>
      </c>
      <c r="G159" s="645">
        <f>G16+G31+G44+G54+G70+G86+G109+G121+G131+G140+G157</f>
        <v>24449601</v>
      </c>
      <c r="H159" s="645" t="e">
        <f>F159-G159</f>
        <v>#REF!</v>
      </c>
      <c r="I159" s="592"/>
    </row>
    <row r="160" spans="1:9">
      <c r="A160" s="835"/>
      <c r="B160" s="432"/>
      <c r="C160" s="432"/>
      <c r="D160" s="446"/>
      <c r="E160" s="441"/>
      <c r="F160" s="433"/>
      <c r="G160" s="433"/>
      <c r="H160" s="433"/>
    </row>
    <row r="161" spans="1:9" ht="15">
      <c r="A161" s="835"/>
      <c r="B161" s="959" t="s">
        <v>346</v>
      </c>
      <c r="C161" s="960"/>
      <c r="D161" s="960"/>
      <c r="E161" s="960"/>
      <c r="F161" s="960"/>
      <c r="G161" s="960"/>
      <c r="H161" s="960"/>
      <c r="I161" s="51" t="s">
        <v>261</v>
      </c>
    </row>
    <row r="162" spans="1:9">
      <c r="A162" s="835"/>
      <c r="B162" s="429"/>
      <c r="C162" s="429"/>
      <c r="D162" s="429"/>
      <c r="E162" s="390"/>
      <c r="F162" s="429"/>
      <c r="G162" s="429"/>
      <c r="H162" s="429"/>
      <c r="I162" s="51"/>
    </row>
    <row r="163" spans="1:9">
      <c r="A163" s="835"/>
      <c r="B163" s="390" t="s">
        <v>250</v>
      </c>
      <c r="C163" s="390" t="s">
        <v>251</v>
      </c>
      <c r="D163" s="429" t="s">
        <v>252</v>
      </c>
      <c r="E163" s="390" t="s">
        <v>253</v>
      </c>
      <c r="F163" s="51" t="s">
        <v>254</v>
      </c>
      <c r="G163" s="208" t="s">
        <v>255</v>
      </c>
      <c r="H163" s="562"/>
    </row>
    <row r="164" spans="1:9">
      <c r="A164" s="757">
        <v>1</v>
      </c>
      <c r="B164" s="758">
        <v>44176</v>
      </c>
      <c r="C164" s="758"/>
      <c r="D164" s="759" t="s">
        <v>347</v>
      </c>
      <c r="E164" s="758"/>
      <c r="F164" s="760">
        <v>141561</v>
      </c>
      <c r="G164" s="761"/>
      <c r="H164" s="762">
        <f>F164</f>
        <v>141561</v>
      </c>
    </row>
    <row r="165" spans="1:9" s="409" customFormat="1">
      <c r="A165" s="460">
        <v>2</v>
      </c>
      <c r="B165" s="746"/>
      <c r="C165" s="747" t="s">
        <v>334</v>
      </c>
      <c r="D165" s="666" t="s">
        <v>348</v>
      </c>
      <c r="E165" s="676"/>
      <c r="F165" s="573"/>
      <c r="G165" s="573">
        <v>17477</v>
      </c>
      <c r="H165" s="573">
        <f>H164+F165-G165</f>
        <v>124084</v>
      </c>
      <c r="I165" s="410"/>
    </row>
    <row r="166" spans="1:9" s="409" customFormat="1">
      <c r="A166" s="460">
        <v>3</v>
      </c>
      <c r="B166" s="748">
        <v>44209</v>
      </c>
      <c r="C166" s="749" t="s">
        <v>349</v>
      </c>
      <c r="D166" s="464" t="s">
        <v>350</v>
      </c>
      <c r="E166" s="483"/>
      <c r="F166" s="465"/>
      <c r="G166" s="465">
        <v>30700</v>
      </c>
      <c r="H166" s="465">
        <f>H165+F166-G166</f>
        <v>93384</v>
      </c>
      <c r="I166" s="410"/>
    </row>
    <row r="167" spans="1:9" s="409" customFormat="1">
      <c r="A167" s="460">
        <v>4</v>
      </c>
      <c r="B167" s="748">
        <v>44203</v>
      </c>
      <c r="C167" s="750"/>
      <c r="D167" s="464" t="s">
        <v>351</v>
      </c>
      <c r="E167" s="483"/>
      <c r="F167" s="465"/>
      <c r="G167" s="465">
        <v>50000</v>
      </c>
      <c r="H167" s="465">
        <f>H166+F167-G167</f>
        <v>43384</v>
      </c>
      <c r="I167" s="410"/>
    </row>
    <row r="168" spans="1:9">
      <c r="A168" s="835">
        <v>5</v>
      </c>
      <c r="B168" s="751"/>
      <c r="C168" s="752"/>
      <c r="D168" s="219" t="s">
        <v>283</v>
      </c>
      <c r="E168" s="816"/>
      <c r="F168" s="220"/>
      <c r="G168" s="220"/>
      <c r="H168" s="438">
        <f>H167+F168-G168</f>
        <v>43384</v>
      </c>
      <c r="I168" s="6"/>
    </row>
    <row r="169" spans="1:9">
      <c r="A169" s="835">
        <v>6</v>
      </c>
      <c r="B169" s="751"/>
      <c r="C169" s="752"/>
      <c r="D169" s="219" t="s">
        <v>284</v>
      </c>
      <c r="E169" s="816"/>
      <c r="F169" s="220"/>
      <c r="G169" s="220"/>
      <c r="H169" s="438">
        <f>H168+F169-G169</f>
        <v>43384</v>
      </c>
      <c r="I169" s="6"/>
    </row>
    <row r="170" spans="1:9">
      <c r="A170" s="835"/>
      <c r="B170" s="71"/>
      <c r="C170" s="71"/>
      <c r="D170" s="835" t="s">
        <v>59</v>
      </c>
      <c r="F170" s="6">
        <f>SUM(F164:F169)</f>
        <v>141561</v>
      </c>
      <c r="G170" s="6">
        <f>SUM(G164:G169)</f>
        <v>98177</v>
      </c>
      <c r="H170" s="562">
        <f>F170-G170</f>
        <v>43384</v>
      </c>
    </row>
    <row r="171" spans="1:9">
      <c r="A171" s="835"/>
      <c r="B171" s="432"/>
      <c r="C171" s="432"/>
      <c r="D171" s="446"/>
      <c r="E171" s="441"/>
      <c r="F171" s="433"/>
      <c r="G171" s="433"/>
      <c r="H171" s="433"/>
    </row>
    <row r="172" spans="1:9" ht="15">
      <c r="A172" s="835"/>
      <c r="B172" s="961" t="s">
        <v>352</v>
      </c>
      <c r="C172" s="962"/>
      <c r="D172" s="962"/>
      <c r="E172" s="962"/>
      <c r="F172" s="962"/>
      <c r="G172" s="962"/>
      <c r="H172" s="962"/>
      <c r="I172" s="51" t="s">
        <v>261</v>
      </c>
    </row>
    <row r="173" spans="1:9">
      <c r="A173" s="835"/>
      <c r="B173" s="429"/>
      <c r="C173" s="429"/>
      <c r="D173" s="429"/>
      <c r="E173" s="390"/>
      <c r="F173" s="429"/>
      <c r="G173" s="429"/>
      <c r="H173" s="429"/>
      <c r="I173" s="51"/>
    </row>
    <row r="174" spans="1:9">
      <c r="A174" s="835"/>
      <c r="B174" s="390" t="s">
        <v>250</v>
      </c>
      <c r="C174" s="390" t="s">
        <v>251</v>
      </c>
      <c r="D174" s="429" t="s">
        <v>252</v>
      </c>
      <c r="E174" s="390" t="s">
        <v>253</v>
      </c>
      <c r="F174" s="51" t="s">
        <v>254</v>
      </c>
      <c r="G174" s="208" t="s">
        <v>255</v>
      </c>
      <c r="H174" s="562">
        <v>43384</v>
      </c>
    </row>
    <row r="175" spans="1:9">
      <c r="A175" s="446">
        <v>7</v>
      </c>
      <c r="B175" s="784">
        <v>44231</v>
      </c>
      <c r="C175" s="438"/>
      <c r="D175" s="439" t="s">
        <v>353</v>
      </c>
      <c r="E175" s="475"/>
      <c r="F175" s="438">
        <v>500000</v>
      </c>
      <c r="G175" s="438"/>
      <c r="H175" s="438">
        <f>H174+F175-G175</f>
        <v>543384</v>
      </c>
      <c r="I175" s="6">
        <v>10000</v>
      </c>
    </row>
    <row r="176" spans="1:9">
      <c r="A176" s="460">
        <v>8</v>
      </c>
      <c r="B176" s="785"/>
      <c r="C176" s="465"/>
      <c r="D176" s="464" t="s">
        <v>282</v>
      </c>
      <c r="E176" s="483"/>
      <c r="F176" s="465"/>
      <c r="G176" s="465"/>
      <c r="H176" s="465">
        <f>H175+F176-G176</f>
        <v>543384</v>
      </c>
      <c r="I176" s="410"/>
    </row>
    <row r="177" spans="1:9">
      <c r="A177" s="460">
        <v>9</v>
      </c>
      <c r="B177" s="786"/>
      <c r="C177" s="485"/>
      <c r="D177" s="486" t="s">
        <v>354</v>
      </c>
      <c r="E177" s="675"/>
      <c r="F177" s="485"/>
      <c r="G177" s="485"/>
      <c r="H177" s="465">
        <f>H176+F177-G177</f>
        <v>543384</v>
      </c>
      <c r="I177" s="410"/>
    </row>
    <row r="178" spans="1:9">
      <c r="A178" s="460">
        <v>10</v>
      </c>
      <c r="B178" s="786">
        <v>44231</v>
      </c>
      <c r="C178" s="485"/>
      <c r="D178" s="486" t="s">
        <v>355</v>
      </c>
      <c r="E178" s="675"/>
      <c r="F178" s="485"/>
      <c r="G178" s="485">
        <v>50000</v>
      </c>
      <c r="H178" s="465">
        <f>H177+F178-G178</f>
        <v>493384</v>
      </c>
      <c r="I178" s="410"/>
    </row>
    <row r="179" spans="1:9">
      <c r="A179" s="835">
        <v>11</v>
      </c>
      <c r="B179" s="787">
        <v>44252</v>
      </c>
      <c r="C179" s="234"/>
      <c r="D179" s="232" t="s">
        <v>283</v>
      </c>
      <c r="E179" s="471"/>
      <c r="F179" s="234"/>
      <c r="G179" s="234">
        <v>20000</v>
      </c>
      <c r="H179" s="465">
        <f>H178+F179-G179</f>
        <v>473384</v>
      </c>
      <c r="I179" s="6"/>
    </row>
    <row r="180" spans="1:9">
      <c r="A180" s="835">
        <v>12</v>
      </c>
      <c r="B180" s="814">
        <v>44231</v>
      </c>
      <c r="C180" s="220"/>
      <c r="D180" s="219" t="s">
        <v>284</v>
      </c>
      <c r="E180" s="816"/>
      <c r="F180" s="220"/>
      <c r="G180" s="220">
        <v>20000</v>
      </c>
      <c r="H180" s="465">
        <f>H179+F180-G180</f>
        <v>453384</v>
      </c>
      <c r="I180" s="6"/>
    </row>
    <row r="181" spans="1:9">
      <c r="A181" s="835">
        <v>13</v>
      </c>
      <c r="B181" s="814">
        <v>44245</v>
      </c>
      <c r="C181" s="220"/>
      <c r="D181" s="219" t="s">
        <v>355</v>
      </c>
      <c r="E181" s="816"/>
      <c r="F181" s="220"/>
      <c r="G181" s="220">
        <v>70000</v>
      </c>
      <c r="H181" s="465">
        <f>H180+F181-G181</f>
        <v>383384</v>
      </c>
      <c r="I181" s="6"/>
    </row>
    <row r="182" spans="1:9">
      <c r="A182" s="835"/>
      <c r="B182" s="71"/>
      <c r="C182" s="71"/>
      <c r="D182" s="835" t="s">
        <v>59</v>
      </c>
      <c r="F182" s="6">
        <f>SUM(F175:F180)</f>
        <v>500000</v>
      </c>
      <c r="G182" s="6">
        <f>SUM(G175:G181)</f>
        <v>160000</v>
      </c>
      <c r="H182" s="562">
        <f>H174+F182-G182</f>
        <v>383384</v>
      </c>
    </row>
    <row r="183" spans="1:9" ht="15">
      <c r="A183" s="835"/>
      <c r="B183" s="930" t="s">
        <v>356</v>
      </c>
      <c r="C183" s="931"/>
      <c r="D183" s="931"/>
      <c r="E183" s="931"/>
      <c r="F183" s="931"/>
      <c r="G183" s="931"/>
      <c r="H183" s="931"/>
      <c r="I183" s="51" t="s">
        <v>261</v>
      </c>
    </row>
    <row r="184" spans="1:9">
      <c r="A184" s="835"/>
      <c r="B184" s="390" t="s">
        <v>250</v>
      </c>
      <c r="C184" s="390" t="s">
        <v>251</v>
      </c>
      <c r="D184" s="429" t="s">
        <v>252</v>
      </c>
      <c r="E184" s="390" t="s">
        <v>253</v>
      </c>
      <c r="F184" s="51" t="s">
        <v>254</v>
      </c>
      <c r="G184" s="208" t="s">
        <v>255</v>
      </c>
      <c r="H184" s="562">
        <v>383384</v>
      </c>
    </row>
    <row r="185" spans="1:9">
      <c r="A185" s="446">
        <v>14</v>
      </c>
      <c r="B185" s="784">
        <v>44256</v>
      </c>
      <c r="C185" s="438"/>
      <c r="D185" s="439" t="s">
        <v>357</v>
      </c>
      <c r="E185" s="475"/>
      <c r="F185" s="438">
        <v>500000</v>
      </c>
      <c r="G185" s="438"/>
      <c r="H185" s="438">
        <f>H184+F185-G185</f>
        <v>883384</v>
      </c>
      <c r="I185" s="6">
        <v>10000</v>
      </c>
    </row>
    <row r="186" spans="1:9">
      <c r="A186" s="460">
        <v>15</v>
      </c>
      <c r="B186" s="785">
        <v>44257</v>
      </c>
      <c r="C186" s="708"/>
      <c r="D186" s="464" t="s">
        <v>358</v>
      </c>
      <c r="E186" s="483"/>
      <c r="F186" s="465"/>
      <c r="G186" s="465">
        <v>11203</v>
      </c>
      <c r="H186" s="465">
        <f>H185+F186-G186</f>
        <v>872181</v>
      </c>
      <c r="I186" s="410"/>
    </row>
    <row r="187" spans="1:9">
      <c r="A187" s="460">
        <v>16</v>
      </c>
      <c r="B187" s="786">
        <v>44257</v>
      </c>
      <c r="C187" s="485"/>
      <c r="D187" s="486" t="s">
        <v>354</v>
      </c>
      <c r="E187" s="675"/>
      <c r="F187" s="485"/>
      <c r="G187" s="485">
        <v>29700</v>
      </c>
      <c r="H187" s="465">
        <f>H186+F187-G187</f>
        <v>842481</v>
      </c>
      <c r="I187" s="410"/>
    </row>
    <row r="188" spans="1:9">
      <c r="A188" s="460">
        <v>17</v>
      </c>
      <c r="B188" s="786">
        <v>44256</v>
      </c>
      <c r="C188" s="485"/>
      <c r="D188" s="486" t="s">
        <v>359</v>
      </c>
      <c r="E188" s="675"/>
      <c r="F188" s="485"/>
      <c r="G188" s="485">
        <v>28000</v>
      </c>
      <c r="H188" s="465">
        <f>H187+F188-G188</f>
        <v>814481</v>
      </c>
      <c r="I188" s="410"/>
    </row>
    <row r="189" spans="1:9">
      <c r="A189" s="460">
        <v>18</v>
      </c>
      <c r="B189" s="786">
        <v>44256</v>
      </c>
      <c r="C189" s="485"/>
      <c r="D189" s="486" t="s">
        <v>360</v>
      </c>
      <c r="E189" s="675"/>
      <c r="F189" s="485"/>
      <c r="G189" s="485">
        <v>75000</v>
      </c>
      <c r="H189" s="465">
        <f>H188+F189-G189</f>
        <v>739481</v>
      </c>
      <c r="I189" s="410"/>
    </row>
    <row r="190" spans="1:9">
      <c r="A190" s="460">
        <v>19</v>
      </c>
      <c r="B190" s="786">
        <v>44256</v>
      </c>
      <c r="C190" s="485"/>
      <c r="D190" s="486" t="s">
        <v>361</v>
      </c>
      <c r="E190" s="675"/>
      <c r="F190" s="485"/>
      <c r="G190" s="485">
        <v>120000</v>
      </c>
      <c r="H190" s="465">
        <f>H189+F190-G190</f>
        <v>619481</v>
      </c>
      <c r="I190" s="410"/>
    </row>
    <row r="191" spans="1:9">
      <c r="A191" s="460">
        <v>20</v>
      </c>
      <c r="B191" s="786">
        <v>44256</v>
      </c>
      <c r="C191" s="485"/>
      <c r="D191" s="486" t="s">
        <v>355</v>
      </c>
      <c r="E191" s="675"/>
      <c r="F191" s="485"/>
      <c r="G191" s="485">
        <v>50000</v>
      </c>
      <c r="H191" s="465">
        <f>H190+F191-G191</f>
        <v>569481</v>
      </c>
      <c r="I191" s="410"/>
    </row>
    <row r="192" spans="1:9">
      <c r="A192" s="835">
        <v>21</v>
      </c>
      <c r="B192" s="231"/>
      <c r="C192" s="220"/>
      <c r="D192" s="219" t="s">
        <v>283</v>
      </c>
      <c r="E192" s="816"/>
      <c r="F192" s="220"/>
      <c r="G192" s="220"/>
      <c r="H192" s="220">
        <f>H191+F192-G192</f>
        <v>569481</v>
      </c>
      <c r="I192" s="6"/>
    </row>
    <row r="193" spans="1:9">
      <c r="A193" s="835">
        <v>22</v>
      </c>
      <c r="B193" s="233"/>
      <c r="C193" s="234"/>
      <c r="D193" s="232" t="s">
        <v>284</v>
      </c>
      <c r="E193" s="471"/>
      <c r="F193" s="234"/>
      <c r="G193" s="234"/>
      <c r="H193" s="234">
        <f>H192+F193-G193</f>
        <v>569481</v>
      </c>
      <c r="I193" s="6"/>
    </row>
    <row r="194" spans="1:9">
      <c r="A194" s="835">
        <v>23</v>
      </c>
      <c r="B194" s="231">
        <v>44251</v>
      </c>
      <c r="C194" s="220">
        <v>788</v>
      </c>
      <c r="D194" s="219" t="s">
        <v>362</v>
      </c>
      <c r="E194" s="816">
        <v>800</v>
      </c>
      <c r="F194" s="220"/>
      <c r="G194" s="220">
        <f>C194*E194</f>
        <v>630400</v>
      </c>
      <c r="H194" s="220">
        <f>H193+F194-G194</f>
        <v>-60919</v>
      </c>
      <c r="I194" s="6"/>
    </row>
    <row r="195" spans="1:9">
      <c r="A195" s="835">
        <v>24</v>
      </c>
      <c r="B195" s="231"/>
      <c r="C195" s="220"/>
      <c r="D195" s="219" t="s">
        <v>363</v>
      </c>
      <c r="E195" s="816">
        <v>10</v>
      </c>
      <c r="F195" s="220"/>
      <c r="G195" s="220"/>
      <c r="H195" s="220">
        <f>H194+F195-G195</f>
        <v>-60919</v>
      </c>
      <c r="I195" s="6"/>
    </row>
    <row r="196" spans="1:9">
      <c r="A196" s="835">
        <v>25</v>
      </c>
      <c r="B196" s="231"/>
      <c r="C196" s="220"/>
      <c r="D196" s="219" t="s">
        <v>364</v>
      </c>
      <c r="E196" s="816">
        <v>24</v>
      </c>
      <c r="F196" s="220"/>
      <c r="G196" s="220"/>
      <c r="H196" s="220">
        <f>H195+F196-G196</f>
        <v>-60919</v>
      </c>
      <c r="I196" s="6"/>
    </row>
    <row r="197" spans="1:9">
      <c r="A197" s="835">
        <v>26</v>
      </c>
      <c r="B197" s="231"/>
      <c r="C197" s="220"/>
      <c r="D197" s="219" t="s">
        <v>365</v>
      </c>
      <c r="E197" s="816"/>
      <c r="F197" s="220"/>
      <c r="G197" s="220"/>
      <c r="H197" s="234">
        <f>H196+F197-G197</f>
        <v>-60919</v>
      </c>
      <c r="I197" s="6"/>
    </row>
    <row r="198" spans="1:9">
      <c r="A198" s="835">
        <v>27</v>
      </c>
      <c r="B198" s="231"/>
      <c r="C198" s="220"/>
      <c r="D198" s="219" t="s">
        <v>366</v>
      </c>
      <c r="E198" s="816">
        <f>4*22</f>
        <v>88</v>
      </c>
      <c r="F198" s="220"/>
      <c r="G198" s="431"/>
      <c r="H198" s="220">
        <f>H197+F198-G198</f>
        <v>-60919</v>
      </c>
      <c r="I198" s="6"/>
    </row>
    <row r="199" spans="1:9">
      <c r="A199" s="835"/>
      <c r="B199" s="71"/>
      <c r="C199" s="71"/>
      <c r="D199" s="835" t="s">
        <v>59</v>
      </c>
      <c r="F199" s="6">
        <f>SUM(F185:F198)</f>
        <v>500000</v>
      </c>
      <c r="G199" s="6">
        <f>SUM(G185:G198)</f>
        <v>944303</v>
      </c>
      <c r="H199" s="410">
        <f>H184+F199-G199</f>
        <v>-60919</v>
      </c>
    </row>
    <row r="200" spans="1:9" ht="15">
      <c r="A200" s="835"/>
      <c r="B200" s="930" t="s">
        <v>367</v>
      </c>
      <c r="C200" s="931"/>
      <c r="D200" s="931"/>
      <c r="E200" s="931"/>
      <c r="F200" s="931"/>
      <c r="G200" s="931"/>
      <c r="H200" s="931"/>
      <c r="I200" s="51" t="s">
        <v>261</v>
      </c>
    </row>
    <row r="201" spans="1:9">
      <c r="A201" s="835"/>
      <c r="B201" s="390" t="s">
        <v>250</v>
      </c>
      <c r="C201" s="390" t="s">
        <v>251</v>
      </c>
      <c r="D201" s="429" t="s">
        <v>252</v>
      </c>
      <c r="E201" s="390" t="s">
        <v>253</v>
      </c>
      <c r="F201" s="51" t="s">
        <v>254</v>
      </c>
      <c r="G201" s="208" t="s">
        <v>255</v>
      </c>
      <c r="H201" s="556">
        <v>-60919</v>
      </c>
    </row>
    <row r="202" spans="1:9">
      <c r="A202" s="446">
        <v>28</v>
      </c>
      <c r="B202" s="784">
        <v>44291</v>
      </c>
      <c r="C202" s="438"/>
      <c r="D202" s="439" t="s">
        <v>368</v>
      </c>
      <c r="E202" s="475"/>
      <c r="F202" s="438">
        <v>500000</v>
      </c>
      <c r="G202" s="438"/>
      <c r="H202" s="438">
        <f>H201+F202-G202</f>
        <v>439081</v>
      </c>
      <c r="I202" s="6">
        <v>10000</v>
      </c>
    </row>
    <row r="203" spans="1:9">
      <c r="A203" s="460">
        <v>29</v>
      </c>
      <c r="B203" s="785">
        <v>44289</v>
      </c>
      <c r="C203" s="708"/>
      <c r="D203" s="464" t="s">
        <v>369</v>
      </c>
      <c r="E203" s="483"/>
      <c r="F203" s="465"/>
      <c r="G203" s="465">
        <v>17477</v>
      </c>
      <c r="H203" s="465">
        <f>H202+F203-G203</f>
        <v>421604</v>
      </c>
      <c r="I203" s="410"/>
    </row>
    <row r="204" spans="1:9">
      <c r="A204" s="460">
        <v>30</v>
      </c>
      <c r="B204" s="786">
        <v>44286</v>
      </c>
      <c r="C204" s="485"/>
      <c r="D204" s="486" t="s">
        <v>370</v>
      </c>
      <c r="E204" s="675"/>
      <c r="F204" s="485"/>
      <c r="G204" s="485">
        <v>29700</v>
      </c>
      <c r="H204" s="465">
        <f>H203+F204-G204</f>
        <v>391904</v>
      </c>
      <c r="I204" s="410"/>
    </row>
    <row r="205" spans="1:9">
      <c r="A205" s="835">
        <v>31</v>
      </c>
      <c r="B205" s="231"/>
      <c r="C205" s="220"/>
      <c r="D205" s="219" t="s">
        <v>371</v>
      </c>
      <c r="E205" s="816"/>
      <c r="F205" s="220"/>
      <c r="G205" s="220">
        <v>20000</v>
      </c>
      <c r="H205" s="797">
        <f t="shared" ref="H205:H206" si="9">H204+F205-G205</f>
        <v>371904</v>
      </c>
      <c r="I205" s="6"/>
    </row>
    <row r="206" spans="1:9">
      <c r="A206" s="835">
        <v>32</v>
      </c>
      <c r="B206" s="233"/>
      <c r="C206" s="234"/>
      <c r="D206" s="232" t="s">
        <v>372</v>
      </c>
      <c r="E206" s="471"/>
      <c r="F206" s="234"/>
      <c r="G206" s="234">
        <v>22000</v>
      </c>
      <c r="H206" s="798">
        <f>H205+F206-G206</f>
        <v>349904</v>
      </c>
      <c r="I206" s="6"/>
    </row>
    <row r="207" spans="1:9">
      <c r="A207" s="835">
        <v>33</v>
      </c>
      <c r="B207" s="233">
        <v>44293</v>
      </c>
      <c r="C207" s="234"/>
      <c r="D207" s="232" t="s">
        <v>373</v>
      </c>
      <c r="E207" s="471"/>
      <c r="F207" s="234"/>
      <c r="G207" s="234">
        <v>118100</v>
      </c>
      <c r="H207" s="607">
        <f>H206+F207-G207</f>
        <v>231804</v>
      </c>
      <c r="I207" s="6"/>
    </row>
    <row r="208" spans="1:9">
      <c r="A208" s="835">
        <v>34</v>
      </c>
      <c r="B208" s="231">
        <v>44293</v>
      </c>
      <c r="C208" s="220"/>
      <c r="D208" s="219" t="s">
        <v>374</v>
      </c>
      <c r="E208" s="816"/>
      <c r="F208" s="220"/>
      <c r="G208" s="220">
        <v>119751</v>
      </c>
      <c r="H208" s="220">
        <f>H207+F208-G208</f>
        <v>112053</v>
      </c>
      <c r="I208" s="6"/>
    </row>
    <row r="209" spans="1:9">
      <c r="A209" s="835">
        <v>35</v>
      </c>
      <c r="B209" s="231">
        <v>44296</v>
      </c>
      <c r="C209" s="220"/>
      <c r="D209" s="219" t="s">
        <v>323</v>
      </c>
      <c r="E209" s="816"/>
      <c r="F209" s="220"/>
      <c r="G209" s="220">
        <v>100000</v>
      </c>
      <c r="H209" s="220">
        <f>H208+F209-G209</f>
        <v>12053</v>
      </c>
      <c r="I209" s="6"/>
    </row>
    <row r="210" spans="1:9">
      <c r="A210" s="835"/>
      <c r="B210" s="71"/>
      <c r="C210" s="71"/>
      <c r="D210" s="835" t="s">
        <v>59</v>
      </c>
      <c r="F210" s="6">
        <f>SUM(F202:F209)</f>
        <v>500000</v>
      </c>
      <c r="G210" s="6">
        <f>SUM(G202:G209)</f>
        <v>427028</v>
      </c>
      <c r="H210" s="562">
        <f>H201+F210-G210</f>
        <v>12053</v>
      </c>
    </row>
    <row r="211" spans="1:9" ht="15">
      <c r="A211" s="835"/>
      <c r="B211" s="930" t="s">
        <v>375</v>
      </c>
      <c r="C211" s="931"/>
      <c r="D211" s="931"/>
      <c r="E211" s="931"/>
      <c r="F211" s="931"/>
      <c r="G211" s="931"/>
      <c r="H211" s="931"/>
      <c r="I211" s="51" t="s">
        <v>261</v>
      </c>
    </row>
    <row r="212" spans="1:9">
      <c r="A212" s="835"/>
      <c r="B212" s="390" t="s">
        <v>250</v>
      </c>
      <c r="C212" s="390" t="s">
        <v>251</v>
      </c>
      <c r="D212" s="429" t="s">
        <v>252</v>
      </c>
      <c r="E212" s="390" t="s">
        <v>253</v>
      </c>
      <c r="F212" s="51" t="s">
        <v>254</v>
      </c>
      <c r="G212" s="208" t="s">
        <v>255</v>
      </c>
      <c r="H212" s="800">
        <v>12053</v>
      </c>
    </row>
    <row r="213" spans="1:9">
      <c r="A213" s="446">
        <v>36</v>
      </c>
      <c r="B213" s="784">
        <v>44319</v>
      </c>
      <c r="C213" s="438"/>
      <c r="D213" s="439" t="s">
        <v>376</v>
      </c>
      <c r="E213" s="475"/>
      <c r="F213" s="438">
        <v>500000</v>
      </c>
      <c r="G213" s="438"/>
      <c r="H213" s="438">
        <f>H212+F213-G213</f>
        <v>512053</v>
      </c>
      <c r="I213" s="6">
        <v>10000</v>
      </c>
    </row>
    <row r="214" spans="1:9">
      <c r="A214" s="460">
        <v>37</v>
      </c>
      <c r="B214" s="785"/>
      <c r="C214" s="708"/>
      <c r="D214" s="464" t="s">
        <v>369</v>
      </c>
      <c r="E214" s="483"/>
      <c r="F214" s="465"/>
      <c r="G214" s="465">
        <v>17477</v>
      </c>
      <c r="H214" s="465">
        <f>H213+F214-G214</f>
        <v>494576</v>
      </c>
      <c r="I214" s="410"/>
    </row>
    <row r="215" spans="1:9">
      <c r="A215" s="460">
        <v>38</v>
      </c>
      <c r="B215" s="786"/>
      <c r="C215" s="485"/>
      <c r="D215" s="486" t="s">
        <v>370</v>
      </c>
      <c r="E215" s="675"/>
      <c r="F215" s="485"/>
      <c r="G215" s="485">
        <v>30700</v>
      </c>
      <c r="H215" s="465">
        <f>H214+F215-G215</f>
        <v>463876</v>
      </c>
      <c r="I215" s="410"/>
    </row>
    <row r="216" spans="1:9">
      <c r="A216" s="835">
        <v>39</v>
      </c>
      <c r="B216" s="231"/>
      <c r="C216" s="220"/>
      <c r="D216" s="219" t="s">
        <v>371</v>
      </c>
      <c r="E216" s="816"/>
      <c r="F216" s="220"/>
      <c r="G216" s="220">
        <v>20000</v>
      </c>
      <c r="H216" s="438">
        <f>H215+F216-G216</f>
        <v>443876</v>
      </c>
      <c r="I216" s="6"/>
    </row>
    <row r="217" spans="1:9">
      <c r="A217" s="835">
        <v>40</v>
      </c>
      <c r="B217" s="233"/>
      <c r="C217" s="234"/>
      <c r="D217" s="232" t="s">
        <v>372</v>
      </c>
      <c r="E217" s="471"/>
      <c r="F217" s="234"/>
      <c r="G217" s="234">
        <v>22000</v>
      </c>
      <c r="H217" s="438">
        <f>H216+F217-G217</f>
        <v>421876</v>
      </c>
      <c r="I217" s="6"/>
    </row>
    <row r="218" spans="1:9">
      <c r="A218" s="835">
        <v>41</v>
      </c>
      <c r="B218" s="231"/>
      <c r="C218" s="220"/>
      <c r="D218" s="219" t="s">
        <v>323</v>
      </c>
      <c r="E218" s="816"/>
      <c r="F218" s="220"/>
      <c r="G218" s="220"/>
      <c r="H218" s="438">
        <f>H217+F218-G218</f>
        <v>421876</v>
      </c>
      <c r="I218" s="6"/>
    </row>
    <row r="219" spans="1:9">
      <c r="A219" s="835"/>
      <c r="B219" s="71"/>
      <c r="C219" s="71"/>
      <c r="D219" s="835" t="s">
        <v>59</v>
      </c>
      <c r="F219" s="6">
        <f>SUM(F213:F218)</f>
        <v>500000</v>
      </c>
      <c r="G219" s="6">
        <f>SUM(G213:G218)</f>
        <v>90177</v>
      </c>
      <c r="H219" s="562">
        <f>H212+F219-G219</f>
        <v>421876</v>
      </c>
    </row>
    <row r="220" spans="1:9" ht="15">
      <c r="A220" s="835"/>
      <c r="B220" s="930" t="s">
        <v>377</v>
      </c>
      <c r="C220" s="931"/>
      <c r="D220" s="931"/>
      <c r="E220" s="931"/>
      <c r="F220" s="931"/>
      <c r="G220" s="931"/>
      <c r="H220" s="931"/>
      <c r="I220" s="51" t="s">
        <v>261</v>
      </c>
    </row>
    <row r="221" spans="1:9">
      <c r="A221" s="835"/>
      <c r="B221" s="390" t="s">
        <v>250</v>
      </c>
      <c r="C221" s="390" t="s">
        <v>251</v>
      </c>
      <c r="D221" s="429" t="s">
        <v>252</v>
      </c>
      <c r="E221" s="390" t="s">
        <v>253</v>
      </c>
      <c r="F221" s="51" t="s">
        <v>254</v>
      </c>
      <c r="G221" s="208" t="s">
        <v>255</v>
      </c>
      <c r="H221" s="800">
        <v>421876</v>
      </c>
    </row>
    <row r="222" spans="1:9">
      <c r="A222" s="446">
        <v>42</v>
      </c>
      <c r="B222" s="784"/>
      <c r="C222" s="438"/>
      <c r="D222" s="439" t="s">
        <v>376</v>
      </c>
      <c r="E222" s="475"/>
      <c r="F222" s="438"/>
      <c r="G222" s="438"/>
      <c r="H222" s="438">
        <f>H221+F222-G222</f>
        <v>421876</v>
      </c>
      <c r="I222" s="6">
        <v>10000</v>
      </c>
    </row>
    <row r="223" spans="1:9">
      <c r="A223" s="460">
        <v>43</v>
      </c>
      <c r="B223" s="785"/>
      <c r="C223" s="708"/>
      <c r="D223" s="464" t="s">
        <v>369</v>
      </c>
      <c r="E223" s="483"/>
      <c r="F223" s="465"/>
      <c r="G223" s="465">
        <v>11523</v>
      </c>
      <c r="H223" s="465">
        <f>H222+F223-G223</f>
        <v>410353</v>
      </c>
      <c r="I223" s="410"/>
    </row>
    <row r="224" spans="1:9">
      <c r="A224" s="460">
        <v>44</v>
      </c>
      <c r="B224" s="786">
        <v>44342</v>
      </c>
      <c r="C224" s="485"/>
      <c r="D224" s="486" t="s">
        <v>370</v>
      </c>
      <c r="E224" s="675"/>
      <c r="F224" s="485"/>
      <c r="G224" s="485">
        <v>59000</v>
      </c>
      <c r="H224" s="465">
        <f>H223+F224-G224</f>
        <v>351353</v>
      </c>
      <c r="I224" s="410"/>
    </row>
    <row r="225" spans="1:9">
      <c r="A225" s="835">
        <v>45</v>
      </c>
      <c r="B225" s="231"/>
      <c r="C225" s="220"/>
      <c r="D225" s="219" t="s">
        <v>371</v>
      </c>
      <c r="E225" s="816"/>
      <c r="F225" s="220"/>
      <c r="G225" s="220">
        <v>20000</v>
      </c>
      <c r="H225" s="438">
        <f>H224+F225-G225</f>
        <v>331353</v>
      </c>
      <c r="I225" s="6"/>
    </row>
    <row r="226" spans="1:9">
      <c r="A226" s="835">
        <v>46</v>
      </c>
      <c r="B226" s="233">
        <v>44342</v>
      </c>
      <c r="C226" s="234"/>
      <c r="D226" s="232" t="s">
        <v>372</v>
      </c>
      <c r="E226" s="471"/>
      <c r="F226" s="234"/>
      <c r="G226" s="234">
        <v>10700</v>
      </c>
      <c r="H226" s="438">
        <f>H225+F226-G226</f>
        <v>320653</v>
      </c>
      <c r="I226" s="6"/>
    </row>
    <row r="227" spans="1:9">
      <c r="A227" s="835">
        <v>47</v>
      </c>
      <c r="B227" s="231">
        <v>44352</v>
      </c>
      <c r="C227" s="220"/>
      <c r="D227" s="219" t="s">
        <v>323</v>
      </c>
      <c r="E227" s="816"/>
      <c r="F227" s="220"/>
      <c r="G227" s="220">
        <v>100000</v>
      </c>
      <c r="H227" s="438">
        <f>H226+F227-G227</f>
        <v>220653</v>
      </c>
      <c r="I227" s="6"/>
    </row>
    <row r="228" spans="1:9">
      <c r="A228" s="835"/>
      <c r="B228" s="71"/>
      <c r="C228" s="71"/>
      <c r="D228" s="835" t="s">
        <v>59</v>
      </c>
      <c r="F228" s="6">
        <f>SUM(F222:F227)</f>
        <v>0</v>
      </c>
      <c r="G228" s="6">
        <f>SUM(G222:G227)</f>
        <v>201223</v>
      </c>
      <c r="H228" s="562">
        <f>H221+F228-G228</f>
        <v>220653</v>
      </c>
    </row>
    <row r="229" spans="1:9">
      <c r="A229" s="835"/>
      <c r="B229" s="432"/>
      <c r="C229" s="432"/>
      <c r="D229" s="446"/>
      <c r="E229" s="441"/>
      <c r="F229" s="433"/>
      <c r="G229" s="433"/>
      <c r="H229" s="433"/>
    </row>
    <row r="230" spans="1:9" s="672" customFormat="1" ht="15">
      <c r="A230" s="668"/>
      <c r="B230" s="673">
        <v>2021</v>
      </c>
      <c r="C230" s="669"/>
      <c r="D230" s="673" t="s">
        <v>378</v>
      </c>
      <c r="E230" s="670"/>
      <c r="F230" s="671">
        <f>F170+F182+F199+F210</f>
        <v>1641561</v>
      </c>
      <c r="G230" s="671">
        <f>G170+G182+G199+G210</f>
        <v>1629508</v>
      </c>
      <c r="H230" s="796">
        <f>F230-G230</f>
        <v>12053</v>
      </c>
    </row>
    <row r="231" spans="1:9">
      <c r="A231" s="835"/>
      <c r="B231" s="71"/>
      <c r="C231" s="71"/>
      <c r="D231" s="835"/>
      <c r="F231" s="6"/>
      <c r="G231" s="6"/>
      <c r="H231" s="410"/>
    </row>
    <row r="232" spans="1:9" ht="15.75">
      <c r="A232" s="835"/>
      <c r="B232" s="964" t="s">
        <v>347</v>
      </c>
      <c r="C232" s="964"/>
      <c r="D232" s="964"/>
      <c r="E232" s="964"/>
      <c r="F232" s="964"/>
      <c r="G232" s="964"/>
      <c r="H232" s="964"/>
    </row>
    <row r="233" spans="1:9">
      <c r="A233" s="835">
        <v>1</v>
      </c>
      <c r="B233" s="814">
        <v>43999</v>
      </c>
      <c r="C233" s="231"/>
      <c r="D233" s="649" t="s">
        <v>299</v>
      </c>
      <c r="E233" s="816"/>
      <c r="F233" s="220">
        <v>1000000</v>
      </c>
      <c r="G233" s="220"/>
      <c r="H233" s="220">
        <f>F233-G233</f>
        <v>1000000</v>
      </c>
    </row>
    <row r="234" spans="1:9">
      <c r="A234" s="835">
        <v>2</v>
      </c>
      <c r="B234" s="814">
        <v>44122</v>
      </c>
      <c r="C234" s="231"/>
      <c r="D234" s="649" t="s">
        <v>299</v>
      </c>
      <c r="E234" s="816"/>
      <c r="F234" s="220">
        <v>3000000</v>
      </c>
      <c r="G234" s="220"/>
      <c r="H234" s="220">
        <f>F233+F234</f>
        <v>4000000</v>
      </c>
    </row>
    <row r="235" spans="1:9" ht="15.75">
      <c r="A235" s="835"/>
      <c r="B235" s="964" t="s">
        <v>379</v>
      </c>
      <c r="C235" s="964"/>
      <c r="D235" s="964"/>
      <c r="E235" s="964"/>
      <c r="F235" s="964"/>
      <c r="G235" s="964"/>
      <c r="H235" s="964"/>
    </row>
    <row r="236" spans="1:9" ht="15.75">
      <c r="A236" s="579">
        <v>1</v>
      </c>
      <c r="B236" s="575">
        <v>43901</v>
      </c>
      <c r="C236" s="591">
        <v>125</v>
      </c>
      <c r="D236" s="576" t="s">
        <v>380</v>
      </c>
      <c r="E236" s="475">
        <v>6970</v>
      </c>
      <c r="F236" s="578"/>
      <c r="G236" s="438">
        <f>C236*E236</f>
        <v>871250</v>
      </c>
      <c r="H236" s="577"/>
      <c r="I236" s="410"/>
    </row>
    <row r="237" spans="1:9">
      <c r="A237" s="460">
        <v>2</v>
      </c>
      <c r="B237" s="572">
        <v>44018</v>
      </c>
      <c r="C237" s="573">
        <v>0</v>
      </c>
      <c r="D237" s="574" t="s">
        <v>381</v>
      </c>
      <c r="E237" s="676">
        <v>1</v>
      </c>
      <c r="F237" s="573"/>
      <c r="G237" s="573">
        <f>C237*E237</f>
        <v>0</v>
      </c>
      <c r="H237" s="573"/>
      <c r="I237" s="410"/>
    </row>
    <row r="238" spans="1:9">
      <c r="A238" s="460">
        <v>3</v>
      </c>
      <c r="B238" s="482">
        <v>43978</v>
      </c>
      <c r="C238" s="465">
        <v>0</v>
      </c>
      <c r="D238" s="464" t="s">
        <v>382</v>
      </c>
      <c r="E238" s="483">
        <v>1</v>
      </c>
      <c r="F238" s="465"/>
      <c r="G238" s="465">
        <f>C238*E238</f>
        <v>0</v>
      </c>
      <c r="H238" s="465"/>
      <c r="I238" s="6"/>
    </row>
    <row r="239" spans="1:9">
      <c r="A239" s="838">
        <v>4</v>
      </c>
      <c r="B239" s="557">
        <v>43978</v>
      </c>
      <c r="C239" s="558">
        <v>0</v>
      </c>
      <c r="D239" s="559" t="s">
        <v>383</v>
      </c>
      <c r="E239" s="560">
        <v>1</v>
      </c>
      <c r="F239" s="558"/>
      <c r="G239" s="558">
        <f>C239*E239</f>
        <v>0</v>
      </c>
      <c r="H239" s="220"/>
      <c r="I239" s="6"/>
    </row>
    <row r="240" spans="1:9">
      <c r="A240" s="838">
        <v>5</v>
      </c>
      <c r="B240" s="557">
        <v>44018</v>
      </c>
      <c r="C240" s="558">
        <v>0</v>
      </c>
      <c r="D240" s="559" t="s">
        <v>384</v>
      </c>
      <c r="E240" s="560">
        <v>4</v>
      </c>
      <c r="F240" s="558"/>
      <c r="G240" s="558">
        <f>C240*E240</f>
        <v>0</v>
      </c>
      <c r="H240" s="558"/>
      <c r="I240" s="6"/>
    </row>
    <row r="241" spans="1:9">
      <c r="A241" s="838">
        <v>6</v>
      </c>
      <c r="B241" s="557">
        <v>43978</v>
      </c>
      <c r="C241" s="558">
        <v>0</v>
      </c>
      <c r="D241" s="559" t="s">
        <v>385</v>
      </c>
      <c r="E241" s="560">
        <v>5</v>
      </c>
      <c r="F241" s="558"/>
      <c r="G241" s="558">
        <f>C241*E241</f>
        <v>0</v>
      </c>
      <c r="H241" s="558"/>
      <c r="I241" s="6"/>
    </row>
    <row r="242" spans="1:9">
      <c r="A242" s="835"/>
      <c r="B242" s="71"/>
      <c r="C242" s="6"/>
      <c r="D242" s="835"/>
      <c r="F242" s="6"/>
      <c r="G242" s="6"/>
      <c r="H242" s="410"/>
      <c r="I242" s="6"/>
    </row>
    <row r="243" spans="1:9" ht="15.75">
      <c r="A243" s="835"/>
      <c r="B243" s="963" t="s">
        <v>386</v>
      </c>
      <c r="C243" s="963"/>
      <c r="D243" s="963"/>
      <c r="E243" s="963"/>
      <c r="F243" s="963"/>
      <c r="G243" s="963"/>
      <c r="H243" s="963"/>
      <c r="I243" s="6"/>
    </row>
    <row r="244" spans="1:9">
      <c r="A244" s="460">
        <v>1</v>
      </c>
      <c r="B244" s="482">
        <v>43978</v>
      </c>
      <c r="C244" s="465">
        <v>38000</v>
      </c>
      <c r="D244" s="464" t="s">
        <v>339</v>
      </c>
      <c r="E244" s="483">
        <v>24</v>
      </c>
      <c r="F244" s="465"/>
      <c r="G244" s="465">
        <f>C244*E244</f>
        <v>912000</v>
      </c>
      <c r="H244" s="465"/>
      <c r="I244" s="6"/>
    </row>
    <row r="245" spans="1:9">
      <c r="A245" s="460">
        <v>2</v>
      </c>
      <c r="B245" s="482">
        <v>43978</v>
      </c>
      <c r="C245" s="465">
        <v>25000</v>
      </c>
      <c r="D245" s="464" t="s">
        <v>340</v>
      </c>
      <c r="E245" s="483">
        <v>8</v>
      </c>
      <c r="F245" s="465"/>
      <c r="G245" s="465">
        <f>C245*E245</f>
        <v>200000</v>
      </c>
      <c r="H245" s="465"/>
      <c r="I245" s="6"/>
    </row>
    <row r="246" spans="1:9">
      <c r="A246" s="835">
        <v>3</v>
      </c>
      <c r="B246" s="231">
        <v>43978</v>
      </c>
      <c r="C246" s="220">
        <v>36000</v>
      </c>
      <c r="D246" s="232" t="s">
        <v>387</v>
      </c>
      <c r="E246" s="471">
        <v>3</v>
      </c>
      <c r="F246" s="234"/>
      <c r="G246" s="234">
        <f>C246*E246</f>
        <v>108000</v>
      </c>
      <c r="H246" s="220"/>
      <c r="I246" s="6"/>
    </row>
    <row r="247" spans="1:9">
      <c r="A247" s="835">
        <v>4</v>
      </c>
      <c r="B247" s="231">
        <v>43978</v>
      </c>
      <c r="C247" s="430">
        <v>120000</v>
      </c>
      <c r="D247" s="219" t="s">
        <v>388</v>
      </c>
      <c r="E247" s="816">
        <v>2</v>
      </c>
      <c r="F247" s="220"/>
      <c r="G247" s="220">
        <f>C247*E247</f>
        <v>240000</v>
      </c>
      <c r="H247" s="220"/>
    </row>
    <row r="248" spans="1:9">
      <c r="A248" s="835">
        <v>5</v>
      </c>
      <c r="B248" s="231">
        <v>43978</v>
      </c>
      <c r="C248" s="431">
        <v>90000</v>
      </c>
      <c r="D248" s="219" t="s">
        <v>389</v>
      </c>
      <c r="E248" s="816">
        <v>2</v>
      </c>
      <c r="F248" s="220"/>
      <c r="G248" s="220">
        <f>C248*E248</f>
        <v>180000</v>
      </c>
      <c r="H248" s="220"/>
    </row>
    <row r="249" spans="1:9">
      <c r="A249" s="835">
        <v>6</v>
      </c>
      <c r="B249" s="231">
        <v>43978</v>
      </c>
      <c r="C249" s="431">
        <v>50000</v>
      </c>
      <c r="D249" s="219" t="s">
        <v>390</v>
      </c>
      <c r="E249" s="816">
        <v>5</v>
      </c>
      <c r="F249" s="220"/>
      <c r="G249" s="220">
        <f>C249*E249</f>
        <v>250000</v>
      </c>
      <c r="H249" s="220"/>
    </row>
    <row r="250" spans="1:9" s="571" customFormat="1">
      <c r="A250" s="835">
        <v>7</v>
      </c>
      <c r="B250" s="231">
        <v>43978</v>
      </c>
      <c r="C250" s="430">
        <v>60000</v>
      </c>
      <c r="D250" s="232" t="s">
        <v>391</v>
      </c>
      <c r="E250" s="471">
        <v>1</v>
      </c>
      <c r="F250" s="234"/>
      <c r="G250" s="220">
        <f>C250*E250</f>
        <v>60000</v>
      </c>
      <c r="H250" s="234"/>
    </row>
    <row r="251" spans="1:9">
      <c r="A251" s="835">
        <v>8</v>
      </c>
      <c r="B251" s="233">
        <v>43978</v>
      </c>
      <c r="C251" s="234">
        <v>12000</v>
      </c>
      <c r="D251" s="232" t="s">
        <v>392</v>
      </c>
      <c r="E251" s="471">
        <v>3</v>
      </c>
      <c r="F251" s="234"/>
      <c r="G251" s="220">
        <f>C251*E251</f>
        <v>36000</v>
      </c>
      <c r="H251" s="234"/>
    </row>
    <row r="252" spans="1:9">
      <c r="A252" s="835">
        <v>9</v>
      </c>
      <c r="B252" s="231">
        <v>43978</v>
      </c>
      <c r="C252" s="220">
        <v>1300</v>
      </c>
      <c r="D252" s="219" t="s">
        <v>393</v>
      </c>
      <c r="E252" s="816">
        <v>320</v>
      </c>
      <c r="F252" s="220"/>
      <c r="G252" s="220">
        <f>C252*E252</f>
        <v>416000</v>
      </c>
      <c r="H252" s="220"/>
      <c r="I252" s="410"/>
    </row>
    <row r="253" spans="1:9">
      <c r="A253" s="835">
        <v>10</v>
      </c>
      <c r="B253" s="231">
        <v>43978</v>
      </c>
      <c r="C253" s="220">
        <v>750000</v>
      </c>
      <c r="D253" s="219" t="s">
        <v>394</v>
      </c>
      <c r="E253" s="816">
        <v>1</v>
      </c>
      <c r="F253" s="220"/>
      <c r="G253" s="220">
        <f>C253*E253</f>
        <v>750000</v>
      </c>
      <c r="H253" s="220"/>
      <c r="I253" s="410"/>
    </row>
    <row r="254" spans="1:9">
      <c r="A254" s="835">
        <v>11</v>
      </c>
      <c r="B254" s="231">
        <v>43978</v>
      </c>
      <c r="C254" s="220">
        <v>780000</v>
      </c>
      <c r="D254" s="219" t="s">
        <v>395</v>
      </c>
      <c r="E254" s="816">
        <v>1</v>
      </c>
      <c r="F254" s="220"/>
      <c r="G254" s="220">
        <f>C254*E254</f>
        <v>780000</v>
      </c>
      <c r="H254" s="220"/>
      <c r="I254" s="6"/>
    </row>
    <row r="255" spans="1:9">
      <c r="A255" s="838">
        <v>12</v>
      </c>
      <c r="B255" s="557">
        <v>44012</v>
      </c>
      <c r="C255" s="558">
        <v>1200000</v>
      </c>
      <c r="D255" s="559" t="s">
        <v>396</v>
      </c>
      <c r="E255" s="560">
        <v>1</v>
      </c>
      <c r="F255" s="558"/>
      <c r="G255" s="558">
        <f>C255*E255</f>
        <v>1200000</v>
      </c>
      <c r="H255" s="558"/>
      <c r="I255" s="6"/>
    </row>
    <row r="256" spans="1:9">
      <c r="A256" s="838">
        <v>13</v>
      </c>
      <c r="B256" s="557">
        <v>44012</v>
      </c>
      <c r="C256" s="558">
        <v>300000</v>
      </c>
      <c r="D256" s="260" t="s">
        <v>397</v>
      </c>
      <c r="E256" s="560">
        <v>2</v>
      </c>
      <c r="F256" s="558"/>
      <c r="G256" s="558">
        <f>C256*E256</f>
        <v>600000</v>
      </c>
      <c r="H256" s="558"/>
    </row>
    <row r="257" spans="1:8">
      <c r="A257" s="838"/>
      <c r="B257" s="582"/>
      <c r="C257" s="583"/>
      <c r="D257" s="249"/>
      <c r="E257" s="584"/>
      <c r="F257" s="583"/>
      <c r="G257" s="583"/>
      <c r="H257" s="583"/>
    </row>
    <row r="258" spans="1:8" ht="15">
      <c r="A258" s="835"/>
      <c r="B258" s="968" t="s">
        <v>398</v>
      </c>
      <c r="C258" s="968"/>
      <c r="D258" s="968"/>
      <c r="E258" s="968"/>
      <c r="F258" s="968"/>
      <c r="G258" s="968"/>
      <c r="H258" s="968"/>
    </row>
    <row r="259" spans="1:8">
      <c r="A259" s="835"/>
      <c r="B259" s="446"/>
      <c r="C259" s="446"/>
      <c r="D259" s="446"/>
      <c r="E259" s="441"/>
      <c r="F259" s="446"/>
      <c r="G259" s="446"/>
      <c r="H259" s="446"/>
    </row>
    <row r="260" spans="1:8">
      <c r="A260" s="835"/>
      <c r="B260" s="948" t="s">
        <v>399</v>
      </c>
      <c r="C260" s="948"/>
      <c r="D260" s="948"/>
      <c r="E260" s="948"/>
      <c r="F260" s="948"/>
      <c r="G260" s="948"/>
      <c r="H260" s="948"/>
    </row>
    <row r="261" spans="1:8" hidden="1">
      <c r="A261" s="835"/>
      <c r="B261" s="432"/>
      <c r="C261" s="432"/>
      <c r="D261" s="434"/>
      <c r="E261" s="441"/>
      <c r="F261" s="434"/>
      <c r="G261" s="434"/>
      <c r="H261" s="434"/>
    </row>
    <row r="262" spans="1:8" hidden="1">
      <c r="A262" s="835"/>
      <c r="B262" s="446" t="s">
        <v>400</v>
      </c>
      <c r="C262" s="446"/>
      <c r="D262" s="446" t="s">
        <v>401</v>
      </c>
      <c r="E262" s="441"/>
      <c r="F262" s="446" t="s">
        <v>402</v>
      </c>
      <c r="G262" s="435" t="s">
        <v>403</v>
      </c>
      <c r="H262" s="446" t="s">
        <v>59</v>
      </c>
    </row>
    <row r="263" spans="1:8" hidden="1">
      <c r="A263" s="835"/>
      <c r="B263" s="434"/>
      <c r="C263" s="434"/>
      <c r="D263" s="434"/>
      <c r="E263" s="441"/>
      <c r="F263" s="434"/>
      <c r="G263" s="433"/>
      <c r="H263" s="434"/>
    </row>
    <row r="264" spans="1:8" hidden="1">
      <c r="A264" s="835">
        <v>1</v>
      </c>
      <c r="B264" s="436">
        <v>43850</v>
      </c>
      <c r="C264" s="436"/>
      <c r="D264" s="437" t="s">
        <v>404</v>
      </c>
      <c r="E264" s="474"/>
      <c r="F264" s="438">
        <v>11520.25</v>
      </c>
      <c r="G264" s="438"/>
      <c r="H264" s="438">
        <f>F264</f>
        <v>11520.25</v>
      </c>
    </row>
    <row r="265" spans="1:8" hidden="1">
      <c r="A265" s="835">
        <v>2</v>
      </c>
      <c r="B265" s="436">
        <v>43850</v>
      </c>
      <c r="C265" s="436"/>
      <c r="D265" s="437" t="s">
        <v>405</v>
      </c>
      <c r="E265" s="474"/>
      <c r="F265" s="438">
        <v>17.82</v>
      </c>
      <c r="G265" s="438"/>
      <c r="H265" s="438">
        <f>H264+F265</f>
        <v>11538.07</v>
      </c>
    </row>
    <row r="266" spans="1:8" hidden="1">
      <c r="A266" s="835">
        <v>3</v>
      </c>
      <c r="B266" s="436">
        <v>43850</v>
      </c>
      <c r="C266" s="436"/>
      <c r="D266" s="439" t="s">
        <v>50</v>
      </c>
      <c r="E266" s="475"/>
      <c r="F266" s="438"/>
      <c r="G266" s="438">
        <v>535.01</v>
      </c>
      <c r="H266" s="438">
        <f>H265-G266</f>
        <v>11003.06</v>
      </c>
    </row>
    <row r="267" spans="1:8" hidden="1">
      <c r="A267" s="835">
        <v>4</v>
      </c>
      <c r="B267" s="436">
        <v>43850</v>
      </c>
      <c r="C267" s="436"/>
      <c r="D267" s="439" t="s">
        <v>53</v>
      </c>
      <c r="E267" s="475"/>
      <c r="F267" s="438"/>
      <c r="G267" s="438">
        <v>335.36</v>
      </c>
      <c r="H267" s="438">
        <f>H266-G267</f>
        <v>10667.699999999999</v>
      </c>
    </row>
    <row r="268" spans="1:8" hidden="1">
      <c r="A268" s="835">
        <v>5</v>
      </c>
      <c r="B268" s="436">
        <v>43850</v>
      </c>
      <c r="C268" s="436"/>
      <c r="D268" s="439" t="s">
        <v>406</v>
      </c>
      <c r="E268" s="475"/>
      <c r="F268" s="438"/>
      <c r="G268" s="438">
        <v>642.6</v>
      </c>
      <c r="H268" s="438">
        <f>H267-G268</f>
        <v>10025.099999999999</v>
      </c>
    </row>
    <row r="269" spans="1:8" hidden="1">
      <c r="A269" s="835"/>
      <c r="B269" s="432"/>
      <c r="C269" s="432"/>
      <c r="D269" s="434"/>
      <c r="E269" s="441"/>
      <c r="F269" s="433"/>
      <c r="G269" s="433"/>
      <c r="H269" s="433"/>
    </row>
    <row r="270" spans="1:8" hidden="1">
      <c r="A270" s="835"/>
      <c r="B270" s="432"/>
      <c r="C270" s="432"/>
      <c r="D270" s="440" t="s">
        <v>59</v>
      </c>
      <c r="E270" s="476"/>
      <c r="F270" s="433">
        <f>SUM(F264:F268)</f>
        <v>11538.07</v>
      </c>
      <c r="G270" s="433">
        <f>SUM(G264:G268)</f>
        <v>1512.97</v>
      </c>
      <c r="H270" s="601">
        <f>F270-G270</f>
        <v>10025.1</v>
      </c>
    </row>
    <row r="271" spans="1:8" hidden="1">
      <c r="A271" s="835"/>
      <c r="B271" s="432"/>
      <c r="C271" s="432"/>
      <c r="D271" s="432"/>
      <c r="E271" s="476"/>
      <c r="F271" s="432"/>
      <c r="G271" s="432"/>
      <c r="H271" s="433"/>
    </row>
    <row r="272" spans="1:8">
      <c r="A272" s="835"/>
      <c r="B272" s="949" t="s">
        <v>249</v>
      </c>
      <c r="C272" s="949"/>
      <c r="D272" s="949"/>
      <c r="E272" s="949"/>
      <c r="F272" s="949"/>
      <c r="G272" s="949"/>
      <c r="H272" s="949"/>
    </row>
    <row r="273" spans="1:8" hidden="1">
      <c r="A273" s="835"/>
      <c r="B273" s="432"/>
      <c r="C273" s="432"/>
      <c r="D273" s="432"/>
      <c r="E273" s="476"/>
      <c r="F273" s="432"/>
      <c r="G273" s="432"/>
      <c r="H273" s="432"/>
    </row>
    <row r="274" spans="1:8" hidden="1">
      <c r="A274" s="835"/>
      <c r="B274" s="446" t="s">
        <v>400</v>
      </c>
      <c r="C274" s="446"/>
      <c r="D274" s="446" t="s">
        <v>401</v>
      </c>
      <c r="E274" s="441"/>
      <c r="F274" s="446" t="s">
        <v>402</v>
      </c>
      <c r="G274" s="435" t="s">
        <v>403</v>
      </c>
      <c r="H274" s="446" t="s">
        <v>59</v>
      </c>
    </row>
    <row r="275" spans="1:8" hidden="1">
      <c r="A275" s="835"/>
      <c r="B275" s="432"/>
      <c r="C275" s="432"/>
      <c r="D275" s="434"/>
      <c r="E275" s="441"/>
      <c r="F275" s="433"/>
      <c r="G275" s="433"/>
      <c r="H275" s="433"/>
    </row>
    <row r="276" spans="1:8" hidden="1">
      <c r="A276" s="835">
        <v>6</v>
      </c>
      <c r="B276" s="436">
        <v>43863</v>
      </c>
      <c r="C276" s="436"/>
      <c r="D276" s="437" t="s">
        <v>404</v>
      </c>
      <c r="E276" s="474"/>
      <c r="F276" s="438">
        <v>23961.96</v>
      </c>
      <c r="G276" s="438"/>
      <c r="H276" s="438">
        <f>H270+F276</f>
        <v>33987.06</v>
      </c>
    </row>
    <row r="277" spans="1:8" hidden="1">
      <c r="A277" s="835">
        <v>7</v>
      </c>
      <c r="B277" s="436">
        <v>43863</v>
      </c>
      <c r="C277" s="436"/>
      <c r="D277" s="437" t="s">
        <v>405</v>
      </c>
      <c r="E277" s="474"/>
      <c r="F277" s="438">
        <v>0.03</v>
      </c>
      <c r="G277" s="438"/>
      <c r="H277" s="438">
        <f>H276+F277</f>
        <v>33987.089999999997</v>
      </c>
    </row>
    <row r="278" spans="1:8" hidden="1">
      <c r="A278" s="835">
        <v>8</v>
      </c>
      <c r="B278" s="436">
        <v>43863</v>
      </c>
      <c r="C278" s="436"/>
      <c r="D278" s="439" t="s">
        <v>407</v>
      </c>
      <c r="E278" s="475"/>
      <c r="F278" s="438"/>
      <c r="G278" s="438">
        <v>706.05</v>
      </c>
      <c r="H278" s="438">
        <f>H277-G278</f>
        <v>33281.039999999994</v>
      </c>
    </row>
    <row r="279" spans="1:8" hidden="1">
      <c r="A279" s="835">
        <v>9</v>
      </c>
      <c r="B279" s="436">
        <v>43863</v>
      </c>
      <c r="C279" s="436"/>
      <c r="D279" s="439" t="s">
        <v>53</v>
      </c>
      <c r="E279" s="475"/>
      <c r="F279" s="438"/>
      <c r="G279" s="438">
        <v>9.8000000000000007</v>
      </c>
      <c r="H279" s="438">
        <f>H278-G279</f>
        <v>33271.239999999991</v>
      </c>
    </row>
    <row r="280" spans="1:8" hidden="1">
      <c r="A280" s="835">
        <v>10</v>
      </c>
      <c r="B280" s="436">
        <v>43863</v>
      </c>
      <c r="C280" s="436"/>
      <c r="D280" s="439" t="s">
        <v>50</v>
      </c>
      <c r="E280" s="475"/>
      <c r="F280" s="439"/>
      <c r="G280" s="439">
        <v>652.55999999999995</v>
      </c>
      <c r="H280" s="438">
        <f>H279-G280</f>
        <v>32618.679999999989</v>
      </c>
    </row>
    <row r="281" spans="1:8" hidden="1">
      <c r="A281" s="835">
        <v>11</v>
      </c>
      <c r="B281" s="436">
        <v>43871</v>
      </c>
      <c r="C281" s="436"/>
      <c r="D281" s="439" t="s">
        <v>408</v>
      </c>
      <c r="E281" s="475"/>
      <c r="F281" s="439"/>
      <c r="G281" s="438">
        <v>4578</v>
      </c>
      <c r="H281" s="438">
        <f>H280-G281</f>
        <v>28040.679999999989</v>
      </c>
    </row>
    <row r="282" spans="1:8" hidden="1">
      <c r="A282" s="835">
        <v>12</v>
      </c>
      <c r="B282" s="436">
        <v>43871</v>
      </c>
      <c r="C282" s="436"/>
      <c r="D282" s="439" t="s">
        <v>406</v>
      </c>
      <c r="E282" s="475"/>
      <c r="F282" s="439"/>
      <c r="G282" s="438">
        <v>645.6</v>
      </c>
      <c r="H282" s="438">
        <f>H281-G282</f>
        <v>27395.079999999991</v>
      </c>
    </row>
    <row r="283" spans="1:8" hidden="1">
      <c r="A283" s="835"/>
      <c r="B283" s="434"/>
      <c r="C283" s="434"/>
      <c r="D283" s="434"/>
      <c r="E283" s="441"/>
      <c r="F283" s="434"/>
      <c r="G283" s="433"/>
      <c r="H283" s="434"/>
    </row>
    <row r="284" spans="1:8" hidden="1">
      <c r="A284" s="835"/>
      <c r="B284" s="434"/>
      <c r="C284" s="434"/>
      <c r="D284" s="441" t="s">
        <v>59</v>
      </c>
      <c r="E284" s="441"/>
      <c r="F284" s="433">
        <f>SUM(F276:F282)</f>
        <v>23961.989999999998</v>
      </c>
      <c r="G284" s="433">
        <f>SUM(G276:G282)</f>
        <v>6592.01</v>
      </c>
      <c r="H284" s="602">
        <f>F284-G284+H270</f>
        <v>27395.079999999994</v>
      </c>
    </row>
    <row r="285" spans="1:8" hidden="1">
      <c r="A285" s="835"/>
      <c r="B285" s="434"/>
      <c r="C285" s="434"/>
      <c r="D285" s="434"/>
      <c r="E285" s="441"/>
      <c r="F285" s="434"/>
      <c r="G285" s="434"/>
      <c r="H285" s="433"/>
    </row>
    <row r="286" spans="1:8">
      <c r="A286" s="835"/>
      <c r="B286" s="971" t="s">
        <v>260</v>
      </c>
      <c r="C286" s="971"/>
      <c r="D286" s="971"/>
      <c r="E286" s="971"/>
      <c r="F286" s="971"/>
      <c r="G286" s="971"/>
      <c r="H286" s="971"/>
    </row>
    <row r="287" spans="1:8" hidden="1">
      <c r="A287" s="835">
        <v>13</v>
      </c>
      <c r="B287" s="436"/>
      <c r="C287" s="436"/>
      <c r="D287" s="437" t="s">
        <v>404</v>
      </c>
      <c r="E287" s="474"/>
      <c r="F287" s="438"/>
      <c r="G287" s="438"/>
      <c r="H287" s="438"/>
    </row>
    <row r="288" spans="1:8" hidden="1">
      <c r="A288" s="835">
        <v>14</v>
      </c>
      <c r="B288" s="436"/>
      <c r="C288" s="436"/>
      <c r="D288" s="437" t="s">
        <v>405</v>
      </c>
      <c r="E288" s="474"/>
      <c r="F288" s="438"/>
      <c r="G288" s="438"/>
      <c r="H288" s="438"/>
    </row>
    <row r="289" spans="1:9" hidden="1">
      <c r="A289" s="835">
        <v>15</v>
      </c>
      <c r="B289" s="436"/>
      <c r="C289" s="436"/>
      <c r="D289" s="439" t="s">
        <v>50</v>
      </c>
      <c r="E289" s="475"/>
      <c r="F289" s="438"/>
      <c r="G289" s="438">
        <v>652.55999999999995</v>
      </c>
      <c r="H289" s="438"/>
    </row>
    <row r="290" spans="1:9" hidden="1">
      <c r="A290" s="835">
        <v>16</v>
      </c>
      <c r="B290" s="436">
        <v>43894</v>
      </c>
      <c r="C290" s="436"/>
      <c r="D290" s="439" t="s">
        <v>53</v>
      </c>
      <c r="E290" s="475"/>
      <c r="F290" s="438"/>
      <c r="G290" s="438">
        <v>310.14</v>
      </c>
      <c r="H290" s="438"/>
    </row>
    <row r="291" spans="1:9" hidden="1">
      <c r="A291" s="835">
        <v>17</v>
      </c>
      <c r="B291" s="436">
        <v>43894</v>
      </c>
      <c r="C291" s="443"/>
      <c r="D291" s="442" t="s">
        <v>409</v>
      </c>
      <c r="E291" s="477"/>
      <c r="F291" s="438"/>
      <c r="G291" s="438">
        <v>206.11</v>
      </c>
      <c r="H291" s="438"/>
    </row>
    <row r="292" spans="1:9" hidden="1">
      <c r="A292" s="835">
        <v>18</v>
      </c>
      <c r="B292" s="443">
        <v>43894</v>
      </c>
      <c r="C292" s="443"/>
      <c r="D292" s="442" t="s">
        <v>410</v>
      </c>
      <c r="E292" s="478"/>
      <c r="F292" s="444"/>
      <c r="G292" s="445">
        <v>3132.7</v>
      </c>
      <c r="H292" s="445"/>
    </row>
    <row r="293" spans="1:9" hidden="1">
      <c r="A293" s="835">
        <v>19</v>
      </c>
      <c r="B293" s="436">
        <v>43896</v>
      </c>
      <c r="C293" s="436"/>
      <c r="D293" s="439" t="s">
        <v>406</v>
      </c>
      <c r="E293" s="475"/>
      <c r="F293" s="438"/>
      <c r="G293" s="438">
        <v>645.6</v>
      </c>
      <c r="H293" s="438"/>
      <c r="I293" s="225">
        <v>43909</v>
      </c>
    </row>
    <row r="294" spans="1:9" hidden="1">
      <c r="A294" s="835">
        <v>20</v>
      </c>
      <c r="B294" s="436">
        <v>43901</v>
      </c>
      <c r="C294" s="436"/>
      <c r="D294" s="439"/>
      <c r="E294" s="475"/>
      <c r="F294" s="438">
        <v>500</v>
      </c>
      <c r="G294" s="438"/>
      <c r="H294" s="438"/>
      <c r="I294" s="225"/>
    </row>
    <row r="295" spans="1:9" hidden="1">
      <c r="A295" s="835"/>
      <c r="B295" s="434"/>
      <c r="C295" s="434"/>
      <c r="D295" s="447" t="s">
        <v>59</v>
      </c>
      <c r="E295" s="441"/>
      <c r="F295" s="434"/>
      <c r="G295" s="433">
        <f>SUM(G287:G293)</f>
        <v>4947.1100000000006</v>
      </c>
      <c r="H295" s="602">
        <f>H284+F295-G295</f>
        <v>22447.969999999994</v>
      </c>
    </row>
    <row r="296" spans="1:9">
      <c r="A296" s="835"/>
      <c r="B296" s="970" t="s">
        <v>274</v>
      </c>
      <c r="C296" s="970"/>
      <c r="D296" s="970"/>
      <c r="E296" s="970"/>
      <c r="F296" s="970"/>
      <c r="G296" s="970"/>
      <c r="H296" s="970"/>
    </row>
    <row r="297" spans="1:9" hidden="1">
      <c r="A297" s="835"/>
      <c r="D297" s="389" t="s">
        <v>24</v>
      </c>
      <c r="F297" s="6"/>
      <c r="H297" s="453">
        <v>18000</v>
      </c>
    </row>
    <row r="298" spans="1:9" hidden="1">
      <c r="A298" s="835">
        <v>21</v>
      </c>
      <c r="B298" s="233">
        <v>43950</v>
      </c>
      <c r="C298" s="233"/>
      <c r="D298" s="232" t="s">
        <v>411</v>
      </c>
      <c r="E298" s="471"/>
      <c r="F298" s="232">
        <v>26065.15</v>
      </c>
      <c r="G298" s="232"/>
      <c r="H298" s="220">
        <f>F298-G298</f>
        <v>26065.15</v>
      </c>
    </row>
    <row r="299" spans="1:9" hidden="1">
      <c r="A299" s="835">
        <v>22</v>
      </c>
      <c r="B299" s="233">
        <v>43938</v>
      </c>
      <c r="C299" s="233"/>
      <c r="D299" s="451" t="s">
        <v>412</v>
      </c>
      <c r="E299" s="479"/>
      <c r="F299" s="232">
        <v>15414.75</v>
      </c>
      <c r="G299" s="232"/>
      <c r="H299" s="220">
        <f>H298+F299-G299</f>
        <v>41479.9</v>
      </c>
    </row>
    <row r="300" spans="1:9" hidden="1">
      <c r="A300" s="835">
        <v>23</v>
      </c>
      <c r="B300" s="233">
        <v>43950</v>
      </c>
      <c r="C300" s="233"/>
      <c r="D300" s="232" t="s">
        <v>413</v>
      </c>
      <c r="E300" s="471"/>
      <c r="F300" s="232"/>
      <c r="G300" s="232">
        <v>635.21</v>
      </c>
      <c r="H300" s="220">
        <f>H299+F300-G300</f>
        <v>40844.69</v>
      </c>
    </row>
    <row r="301" spans="1:9" hidden="1">
      <c r="A301" s="835">
        <v>24</v>
      </c>
      <c r="B301" s="231">
        <v>43922</v>
      </c>
      <c r="C301" s="231"/>
      <c r="D301" s="219" t="s">
        <v>155</v>
      </c>
      <c r="E301" s="816"/>
      <c r="F301" s="219"/>
      <c r="G301" s="220">
        <v>8.48</v>
      </c>
      <c r="H301" s="220">
        <f>H300+F301-G301</f>
        <v>40836.21</v>
      </c>
    </row>
    <row r="302" spans="1:9" hidden="1">
      <c r="A302" s="835">
        <v>25</v>
      </c>
      <c r="B302" s="231">
        <v>43922</v>
      </c>
      <c r="C302" s="231"/>
      <c r="D302" s="219" t="s">
        <v>414</v>
      </c>
      <c r="E302" s="816"/>
      <c r="F302" s="219"/>
      <c r="G302" s="220">
        <v>206.11</v>
      </c>
      <c r="H302" s="220">
        <f>H301+F302-G302</f>
        <v>40630.1</v>
      </c>
    </row>
    <row r="303" spans="1:9" hidden="1">
      <c r="A303" s="835">
        <v>26</v>
      </c>
      <c r="B303" s="231">
        <v>43935</v>
      </c>
      <c r="C303" s="231"/>
      <c r="D303" s="219" t="s">
        <v>200</v>
      </c>
      <c r="E303" s="816"/>
      <c r="F303" s="220"/>
      <c r="G303" s="219">
        <v>728.95</v>
      </c>
      <c r="H303" s="220">
        <f>H302+F303-G303</f>
        <v>39901.15</v>
      </c>
    </row>
    <row r="304" spans="1:9" hidden="1">
      <c r="A304" s="835"/>
      <c r="D304" s="389" t="s">
        <v>59</v>
      </c>
      <c r="F304" s="6">
        <f>SUM(F298:F303)</f>
        <v>41479.9</v>
      </c>
      <c r="G304" s="6">
        <f>SUM(G298:G303)</f>
        <v>1578.75</v>
      </c>
      <c r="H304" s="603">
        <f>F304-G304</f>
        <v>39901.15</v>
      </c>
    </row>
    <row r="305" spans="1:8">
      <c r="A305" s="835"/>
      <c r="B305" s="969" t="s">
        <v>280</v>
      </c>
      <c r="C305" s="969"/>
      <c r="D305" s="969"/>
      <c r="E305" s="969"/>
      <c r="F305" s="969"/>
      <c r="G305" s="969"/>
      <c r="H305" s="969"/>
    </row>
    <row r="306" spans="1:8" ht="12.75" hidden="1" customHeight="1">
      <c r="A306" s="835"/>
      <c r="D306" s="448" t="s">
        <v>24</v>
      </c>
      <c r="H306">
        <v>39901.15</v>
      </c>
    </row>
    <row r="307" spans="1:8" hidden="1">
      <c r="A307" s="835">
        <v>27</v>
      </c>
      <c r="B307" s="231">
        <v>43980</v>
      </c>
      <c r="C307" s="231"/>
      <c r="D307" s="219" t="s">
        <v>411</v>
      </c>
      <c r="E307" s="816"/>
      <c r="F307" s="219">
        <v>26700.36</v>
      </c>
      <c r="G307" s="219"/>
      <c r="H307" s="220">
        <f>H306+F307-G307</f>
        <v>66601.510000000009</v>
      </c>
    </row>
    <row r="308" spans="1:8" hidden="1">
      <c r="A308" s="835">
        <v>28</v>
      </c>
      <c r="B308" s="231">
        <v>43968</v>
      </c>
      <c r="C308" s="231"/>
      <c r="D308" s="449" t="s">
        <v>412</v>
      </c>
      <c r="E308" s="480"/>
      <c r="F308" s="219">
        <v>15414.75</v>
      </c>
      <c r="G308" s="219"/>
      <c r="H308" s="220">
        <f>H307+F308-G308</f>
        <v>82016.260000000009</v>
      </c>
    </row>
    <row r="309" spans="1:8" hidden="1">
      <c r="A309" s="835">
        <v>29</v>
      </c>
      <c r="B309" s="452">
        <v>43950</v>
      </c>
      <c r="C309" s="452"/>
      <c r="D309" s="450" t="s">
        <v>413</v>
      </c>
      <c r="E309" s="481"/>
      <c r="F309" s="450"/>
      <c r="G309" s="450">
        <v>635.21</v>
      </c>
      <c r="H309" s="220">
        <f>H308+F309-G309</f>
        <v>81381.05</v>
      </c>
    </row>
    <row r="310" spans="1:8" hidden="1">
      <c r="A310" s="835">
        <v>30</v>
      </c>
      <c r="B310" s="231">
        <v>43958</v>
      </c>
      <c r="C310" s="231"/>
      <c r="D310" s="219" t="s">
        <v>415</v>
      </c>
      <c r="E310" s="816"/>
      <c r="F310" s="219"/>
      <c r="G310" s="219">
        <v>306.17</v>
      </c>
      <c r="H310" s="220">
        <f>H309+F310-G310</f>
        <v>81074.880000000005</v>
      </c>
    </row>
    <row r="311" spans="1:8" hidden="1">
      <c r="A311" s="835">
        <v>31</v>
      </c>
      <c r="B311" s="231">
        <v>43955</v>
      </c>
      <c r="C311" s="231"/>
      <c r="D311" s="219" t="s">
        <v>416</v>
      </c>
      <c r="E311" s="816"/>
      <c r="F311" s="219"/>
      <c r="G311" s="220">
        <v>879.02</v>
      </c>
      <c r="H311" s="220">
        <f>H310+F311-G311</f>
        <v>80195.86</v>
      </c>
    </row>
    <row r="312" spans="1:8" hidden="1">
      <c r="A312" s="835">
        <v>32</v>
      </c>
      <c r="B312" s="231">
        <v>43959</v>
      </c>
      <c r="C312" s="231"/>
      <c r="D312" s="219" t="s">
        <v>417</v>
      </c>
      <c r="E312" s="816"/>
      <c r="F312" s="219"/>
      <c r="G312" s="220">
        <v>710.1</v>
      </c>
      <c r="H312" s="220">
        <f>H311+F312-G312</f>
        <v>79485.759999999995</v>
      </c>
    </row>
    <row r="313" spans="1:8" hidden="1">
      <c r="A313" s="835"/>
      <c r="D313" s="448" t="s">
        <v>59</v>
      </c>
      <c r="F313" s="6">
        <f>SUM(F307:F312)</f>
        <v>42115.11</v>
      </c>
      <c r="G313" s="6">
        <f>SUM(G307:G312)</f>
        <v>2530.5</v>
      </c>
      <c r="H313" s="604">
        <f>H306+F313-G313</f>
        <v>79485.760000000009</v>
      </c>
    </row>
    <row r="314" spans="1:8">
      <c r="A314" s="835"/>
      <c r="B314" s="932" t="s">
        <v>286</v>
      </c>
      <c r="C314" s="932"/>
      <c r="D314" s="932"/>
      <c r="E314" s="932"/>
      <c r="F314" s="932"/>
      <c r="G314" s="932"/>
      <c r="H314" s="932"/>
    </row>
    <row r="315" spans="1:8" hidden="1">
      <c r="A315" s="835"/>
      <c r="B315" s="71"/>
      <c r="C315" s="71"/>
    </row>
    <row r="316" spans="1:8" hidden="1">
      <c r="A316" s="835"/>
      <c r="B316" s="71"/>
      <c r="C316" s="71"/>
      <c r="D316" s="448" t="s">
        <v>24</v>
      </c>
      <c r="H316" s="570">
        <v>79485.759999999995</v>
      </c>
    </row>
    <row r="317" spans="1:8" hidden="1">
      <c r="A317" s="835">
        <v>33</v>
      </c>
      <c r="B317" s="231"/>
      <c r="C317" s="231"/>
      <c r="D317" s="219" t="s">
        <v>411</v>
      </c>
      <c r="E317" s="816"/>
      <c r="F317" s="219"/>
      <c r="G317" s="219"/>
      <c r="H317" s="220">
        <f>H316+F317-G317</f>
        <v>79485.759999999995</v>
      </c>
    </row>
    <row r="318" spans="1:8" hidden="1">
      <c r="A318" s="835">
        <v>34</v>
      </c>
      <c r="B318" s="231">
        <v>43999</v>
      </c>
      <c r="C318" s="231"/>
      <c r="D318" s="449" t="s">
        <v>412</v>
      </c>
      <c r="E318" s="480"/>
      <c r="F318" s="219">
        <v>24537.24</v>
      </c>
      <c r="G318" s="219"/>
      <c r="H318" s="220">
        <f>H317+F318-G318</f>
        <v>104023</v>
      </c>
    </row>
    <row r="319" spans="1:8" hidden="1">
      <c r="A319" s="835">
        <v>35</v>
      </c>
      <c r="B319" s="452">
        <v>43980</v>
      </c>
      <c r="C319" s="452"/>
      <c r="D319" s="450" t="s">
        <v>418</v>
      </c>
      <c r="E319" s="481"/>
      <c r="F319" s="450"/>
      <c r="G319" s="450">
        <v>652.55999999999995</v>
      </c>
      <c r="H319" s="220">
        <f>H318+F319-G319</f>
        <v>103370.44</v>
      </c>
    </row>
    <row r="320" spans="1:8" hidden="1">
      <c r="A320" s="835">
        <v>36</v>
      </c>
      <c r="B320" s="452">
        <v>43980</v>
      </c>
      <c r="C320" s="231"/>
      <c r="D320" s="219" t="s">
        <v>419</v>
      </c>
      <c r="E320" s="816"/>
      <c r="F320" s="219"/>
      <c r="G320" s="219">
        <v>314.92</v>
      </c>
      <c r="H320" s="220">
        <f>H319+F320-G320</f>
        <v>103055.52</v>
      </c>
    </row>
    <row r="321" spans="1:9" hidden="1">
      <c r="A321" s="835">
        <v>37</v>
      </c>
      <c r="B321" s="452">
        <v>43980</v>
      </c>
      <c r="C321" s="231"/>
      <c r="D321" s="219" t="s">
        <v>420</v>
      </c>
      <c r="E321" s="816"/>
      <c r="F321" s="219"/>
      <c r="G321" s="220">
        <v>716.6</v>
      </c>
      <c r="H321" s="220">
        <f>H320+F321-G321</f>
        <v>102338.92</v>
      </c>
    </row>
    <row r="322" spans="1:9" hidden="1">
      <c r="A322" s="835">
        <v>38</v>
      </c>
      <c r="B322" s="231">
        <v>43999</v>
      </c>
      <c r="C322" s="231"/>
      <c r="D322" s="219" t="s">
        <v>421</v>
      </c>
      <c r="E322" s="816"/>
      <c r="F322" s="219"/>
      <c r="G322" s="220">
        <v>730.74</v>
      </c>
      <c r="H322" s="220">
        <f>H321+F322-G322</f>
        <v>101608.18</v>
      </c>
    </row>
    <row r="323" spans="1:9" ht="15" hidden="1">
      <c r="A323" s="835"/>
      <c r="B323" s="71"/>
      <c r="C323" s="71"/>
      <c r="D323" s="448" t="s">
        <v>59</v>
      </c>
      <c r="F323" s="6">
        <f>SUM(F317:F322)</f>
        <v>24537.24</v>
      </c>
      <c r="G323" s="6">
        <f>SUM(G317:G322)</f>
        <v>2414.8199999999997</v>
      </c>
      <c r="H323" s="605">
        <f>H316+F323-G323</f>
        <v>101608.18</v>
      </c>
    </row>
    <row r="324" spans="1:9">
      <c r="A324" s="835"/>
      <c r="B324" s="932" t="s">
        <v>297</v>
      </c>
      <c r="C324" s="932"/>
      <c r="D324" s="932"/>
      <c r="E324" s="932"/>
      <c r="F324" s="932"/>
      <c r="G324" s="932"/>
      <c r="H324" s="933"/>
    </row>
    <row r="325" spans="1:9" ht="13.5" hidden="1">
      <c r="A325" s="835"/>
      <c r="B325" s="71"/>
      <c r="C325" s="71"/>
      <c r="D325" s="448" t="s">
        <v>24</v>
      </c>
      <c r="H325" s="595">
        <v>101608.18</v>
      </c>
      <c r="I325" s="835"/>
    </row>
    <row r="326" spans="1:9" hidden="1">
      <c r="A326" s="835">
        <v>39</v>
      </c>
      <c r="B326" s="231"/>
      <c r="C326" s="231"/>
      <c r="D326" s="219" t="s">
        <v>411</v>
      </c>
      <c r="E326" s="816"/>
      <c r="F326" s="219"/>
      <c r="G326" s="219"/>
      <c r="H326" s="431">
        <f t="shared" ref="H326:H331" si="10">H325+F326-G326</f>
        <v>101608.18</v>
      </c>
      <c r="I326" s="835"/>
    </row>
    <row r="327" spans="1:9" hidden="1">
      <c r="A327" s="835">
        <v>40</v>
      </c>
      <c r="B327" s="231">
        <v>44029</v>
      </c>
      <c r="C327" s="231"/>
      <c r="D327" s="449" t="s">
        <v>412</v>
      </c>
      <c r="E327" s="480"/>
      <c r="F327" s="219">
        <v>16358.14</v>
      </c>
      <c r="G327" s="219"/>
      <c r="H327" s="431">
        <f t="shared" si="10"/>
        <v>117966.31999999999</v>
      </c>
      <c r="I327" s="835"/>
    </row>
    <row r="328" spans="1:9" hidden="1">
      <c r="A328" s="835">
        <v>41</v>
      </c>
      <c r="B328" s="452">
        <v>44018</v>
      </c>
      <c r="C328" s="452"/>
      <c r="D328" s="450" t="s">
        <v>422</v>
      </c>
      <c r="E328" s="481"/>
      <c r="F328" s="450"/>
      <c r="G328" s="450">
        <v>652.55999999999995</v>
      </c>
      <c r="H328" s="431">
        <f t="shared" si="10"/>
        <v>117313.76</v>
      </c>
      <c r="I328" s="835"/>
    </row>
    <row r="329" spans="1:9" hidden="1">
      <c r="A329" s="835">
        <v>42</v>
      </c>
      <c r="B329" s="452">
        <v>44018</v>
      </c>
      <c r="C329" s="231"/>
      <c r="D329" s="219" t="s">
        <v>423</v>
      </c>
      <c r="E329" s="816"/>
      <c r="F329" s="219"/>
      <c r="G329" s="219">
        <v>419.53</v>
      </c>
      <c r="H329" s="431">
        <f t="shared" si="10"/>
        <v>116894.23</v>
      </c>
      <c r="I329" s="835"/>
    </row>
    <row r="330" spans="1:9" hidden="1">
      <c r="A330" s="835">
        <v>43</v>
      </c>
      <c r="B330" s="452"/>
      <c r="C330" s="231"/>
      <c r="D330" s="219" t="s">
        <v>424</v>
      </c>
      <c r="E330" s="816"/>
      <c r="F330" s="219"/>
      <c r="G330" s="220"/>
      <c r="H330" s="431">
        <f t="shared" si="10"/>
        <v>116894.23</v>
      </c>
      <c r="I330" s="835"/>
    </row>
    <row r="331" spans="1:9" hidden="1">
      <c r="A331" s="835">
        <v>44</v>
      </c>
      <c r="B331" s="231"/>
      <c r="C331" s="231"/>
      <c r="D331" s="219" t="s">
        <v>425</v>
      </c>
      <c r="E331" s="816"/>
      <c r="F331" s="219"/>
      <c r="G331" s="220">
        <v>-18.850000000000001</v>
      </c>
      <c r="H331" s="431">
        <f t="shared" si="10"/>
        <v>116913.08</v>
      </c>
      <c r="I331" s="835"/>
    </row>
    <row r="332" spans="1:9" hidden="1">
      <c r="A332" s="835"/>
      <c r="B332" s="71"/>
      <c r="C332" s="71"/>
      <c r="D332" s="448" t="s">
        <v>59</v>
      </c>
      <c r="F332" s="6">
        <f t="shared" ref="F332" si="11">SUM(F326:F331)</f>
        <v>16358.14</v>
      </c>
      <c r="G332" s="6">
        <f t="shared" ref="G332" si="12">SUM(G326:G331)</f>
        <v>1053.24</v>
      </c>
      <c r="H332" s="597">
        <f t="shared" ref="H332" si="13">H325+F332-G332</f>
        <v>116913.07999999999</v>
      </c>
      <c r="I332" s="835"/>
    </row>
    <row r="333" spans="1:9">
      <c r="A333" s="835"/>
      <c r="B333" s="939" t="s">
        <v>85</v>
      </c>
      <c r="C333" s="939"/>
      <c r="D333" s="939"/>
      <c r="E333" s="939"/>
      <c r="F333" s="939"/>
      <c r="G333" s="939"/>
      <c r="H333" s="940"/>
    </row>
    <row r="334" spans="1:9" hidden="1">
      <c r="A334" s="835"/>
      <c r="B334" s="71"/>
      <c r="C334" s="71"/>
      <c r="D334" s="448" t="s">
        <v>24</v>
      </c>
      <c r="H334" s="597">
        <v>116913.08</v>
      </c>
      <c r="I334" s="835"/>
    </row>
    <row r="335" spans="1:9" hidden="1">
      <c r="A335" s="835">
        <v>45</v>
      </c>
      <c r="B335" s="231"/>
      <c r="C335" s="231"/>
      <c r="D335" s="219" t="s">
        <v>411</v>
      </c>
      <c r="E335" s="816"/>
      <c r="F335" s="219"/>
      <c r="G335" s="235"/>
      <c r="H335" s="220">
        <f>H334+F335-G335</f>
        <v>116913.08</v>
      </c>
      <c r="I335" s="835"/>
    </row>
    <row r="336" spans="1:9" hidden="1">
      <c r="A336" s="835">
        <v>46</v>
      </c>
      <c r="B336" s="231">
        <v>44063</v>
      </c>
      <c r="C336" s="231"/>
      <c r="D336" s="449" t="s">
        <v>412</v>
      </c>
      <c r="E336" s="480"/>
      <c r="F336" s="219">
        <v>16358.13</v>
      </c>
      <c r="G336" s="235"/>
      <c r="H336" s="220">
        <f>H335+F336-G336</f>
        <v>133271.21</v>
      </c>
    </row>
    <row r="337" spans="1:9" hidden="1">
      <c r="A337" s="835">
        <v>47</v>
      </c>
      <c r="B337" s="231">
        <v>44051</v>
      </c>
      <c r="C337" s="452"/>
      <c r="D337" s="590" t="s">
        <v>426</v>
      </c>
      <c r="E337" s="481"/>
      <c r="F337" s="450"/>
      <c r="G337" s="598">
        <v>652.55999999999995</v>
      </c>
      <c r="H337" s="220">
        <f>H336+F337-G337</f>
        <v>132618.65</v>
      </c>
      <c r="I337" s="835"/>
    </row>
    <row r="338" spans="1:9" hidden="1">
      <c r="A338" s="835">
        <v>48</v>
      </c>
      <c r="B338" s="233">
        <v>44051</v>
      </c>
      <c r="C338" s="470"/>
      <c r="D338" s="232" t="s">
        <v>427</v>
      </c>
      <c r="E338" s="596"/>
      <c r="F338" s="232"/>
      <c r="G338" s="237">
        <v>384.48</v>
      </c>
      <c r="H338" s="234">
        <f>H337+F338-G338</f>
        <v>132234.16999999998</v>
      </c>
    </row>
    <row r="339" spans="1:9" hidden="1">
      <c r="A339" s="835">
        <v>49</v>
      </c>
      <c r="B339" s="231">
        <v>44051</v>
      </c>
      <c r="C339" s="231"/>
      <c r="D339" s="219" t="s">
        <v>428</v>
      </c>
      <c r="E339" s="816"/>
      <c r="F339" s="219"/>
      <c r="G339" s="220">
        <v>206.21</v>
      </c>
      <c r="H339" s="220">
        <f>H338+F339-G339</f>
        <v>132027.96</v>
      </c>
    </row>
    <row r="340" spans="1:9" hidden="1">
      <c r="A340" s="835">
        <v>50</v>
      </c>
      <c r="B340" s="231">
        <v>44051</v>
      </c>
      <c r="C340" s="231"/>
      <c r="D340" s="219" t="s">
        <v>429</v>
      </c>
      <c r="E340" s="816"/>
      <c r="F340" s="219"/>
      <c r="G340" s="220">
        <v>1011.17</v>
      </c>
      <c r="H340" s="220">
        <f>H339+F340-G340</f>
        <v>131016.79</v>
      </c>
      <c r="I340" s="173" t="s">
        <v>430</v>
      </c>
    </row>
    <row r="341" spans="1:9" hidden="1">
      <c r="A341" s="835">
        <v>51</v>
      </c>
      <c r="B341" s="231">
        <v>44062</v>
      </c>
      <c r="C341" s="231">
        <v>44065</v>
      </c>
      <c r="D341" s="219" t="s">
        <v>347</v>
      </c>
      <c r="E341" s="816"/>
      <c r="F341" s="219"/>
      <c r="G341" s="220">
        <v>10000</v>
      </c>
      <c r="H341" s="220">
        <f>H340+F341-G341</f>
        <v>121016.79</v>
      </c>
      <c r="I341" s="173"/>
    </row>
    <row r="342" spans="1:9" hidden="1">
      <c r="A342" s="835"/>
      <c r="B342" s="231"/>
      <c r="C342" s="231">
        <v>44072</v>
      </c>
      <c r="D342" s="219" t="s">
        <v>347</v>
      </c>
      <c r="E342" s="816"/>
      <c r="F342" s="219"/>
      <c r="G342" s="220">
        <v>40000</v>
      </c>
      <c r="H342" s="220">
        <f>H341+F342-G342</f>
        <v>81016.789999999994</v>
      </c>
      <c r="I342" s="173"/>
    </row>
    <row r="343" spans="1:9" hidden="1">
      <c r="A343" s="835"/>
      <c r="B343" s="71"/>
      <c r="C343" s="71"/>
      <c r="D343" s="448" t="s">
        <v>59</v>
      </c>
      <c r="F343" s="6">
        <f>SUM(F335:F342)</f>
        <v>16358.13</v>
      </c>
      <c r="G343" s="6">
        <f>SUM(G335:G342)</f>
        <v>52254.42</v>
      </c>
      <c r="H343" s="597">
        <f>H334+F343-G343</f>
        <v>81016.789999999994</v>
      </c>
      <c r="I343" s="835"/>
    </row>
    <row r="344" spans="1:9">
      <c r="A344" s="835"/>
      <c r="B344" s="944" t="s">
        <v>86</v>
      </c>
      <c r="C344" s="944"/>
      <c r="D344" s="944"/>
      <c r="E344" s="944"/>
      <c r="F344" s="944"/>
      <c r="G344" s="944"/>
      <c r="H344" s="945"/>
    </row>
    <row r="345" spans="1:9" hidden="1">
      <c r="A345" s="835"/>
      <c r="B345" s="71"/>
      <c r="C345" s="71"/>
      <c r="D345" s="448" t="s">
        <v>24</v>
      </c>
      <c r="H345" s="597">
        <v>81016.789999999994</v>
      </c>
      <c r="I345" s="835"/>
    </row>
    <row r="346" spans="1:9" hidden="1">
      <c r="A346" s="835">
        <v>45</v>
      </c>
      <c r="B346" s="231"/>
      <c r="C346" s="231"/>
      <c r="D346" s="219" t="s">
        <v>411</v>
      </c>
      <c r="E346" s="816"/>
      <c r="F346" s="232"/>
      <c r="G346" s="235"/>
      <c r="H346" s="220">
        <f>H345+F346-G346</f>
        <v>81016.789999999994</v>
      </c>
      <c r="I346" s="835"/>
    </row>
    <row r="347" spans="1:9" hidden="1">
      <c r="A347" s="835">
        <v>46</v>
      </c>
      <c r="B347" s="231"/>
      <c r="C347" s="231"/>
      <c r="D347" s="449" t="s">
        <v>412</v>
      </c>
      <c r="E347" s="608"/>
      <c r="F347" s="266">
        <v>17585</v>
      </c>
      <c r="G347" s="610"/>
      <c r="H347" s="220">
        <f>H346+F347-G347</f>
        <v>98601.79</v>
      </c>
    </row>
    <row r="348" spans="1:9" hidden="1">
      <c r="A348" s="835">
        <v>47</v>
      </c>
      <c r="B348" s="231">
        <v>44082</v>
      </c>
      <c r="C348" s="452"/>
      <c r="D348" s="590" t="s">
        <v>431</v>
      </c>
      <c r="E348" s="609"/>
      <c r="F348" s="219"/>
      <c r="G348" s="611">
        <v>652.55999999999995</v>
      </c>
      <c r="H348" s="220">
        <f>H347+F348-G348</f>
        <v>97949.23</v>
      </c>
      <c r="I348" s="835"/>
    </row>
    <row r="349" spans="1:9" hidden="1">
      <c r="A349" s="835">
        <v>48</v>
      </c>
      <c r="B349" s="233">
        <v>44082</v>
      </c>
      <c r="C349" s="470"/>
      <c r="D349" s="232" t="s">
        <v>432</v>
      </c>
      <c r="E349" s="596"/>
      <c r="F349" s="590"/>
      <c r="G349" s="237">
        <v>320.02999999999997</v>
      </c>
      <c r="H349" s="234">
        <f>H348+F349-G349</f>
        <v>97629.2</v>
      </c>
    </row>
    <row r="350" spans="1:9" hidden="1">
      <c r="A350" s="835">
        <v>49</v>
      </c>
      <c r="B350" s="231">
        <v>44082</v>
      </c>
      <c r="C350" s="231"/>
      <c r="D350" s="219" t="s">
        <v>433</v>
      </c>
      <c r="E350" s="816"/>
      <c r="F350" s="219"/>
      <c r="G350" s="220">
        <v>536.78</v>
      </c>
      <c r="H350" s="220">
        <f>H349+F350-G350</f>
        <v>97092.42</v>
      </c>
    </row>
    <row r="351" spans="1:9" hidden="1">
      <c r="A351" s="835">
        <v>50</v>
      </c>
      <c r="B351" s="233">
        <v>44088</v>
      </c>
      <c r="C351" s="233"/>
      <c r="D351" s="232" t="s">
        <v>434</v>
      </c>
      <c r="E351" s="471"/>
      <c r="F351" s="232"/>
      <c r="G351" s="234">
        <v>1142.1099999999999</v>
      </c>
      <c r="H351" s="220">
        <f>H350+F351-G351</f>
        <v>95950.31</v>
      </c>
      <c r="I351" s="173"/>
    </row>
    <row r="352" spans="1:9" hidden="1">
      <c r="A352" s="835">
        <v>51</v>
      </c>
      <c r="B352" s="231">
        <v>44079</v>
      </c>
      <c r="C352" s="231"/>
      <c r="D352" s="219" t="s">
        <v>347</v>
      </c>
      <c r="E352" s="816"/>
      <c r="F352" s="219"/>
      <c r="G352" s="220">
        <v>10000</v>
      </c>
      <c r="H352" s="606">
        <f>H351+F352-G352</f>
        <v>85950.31</v>
      </c>
      <c r="I352" s="173"/>
    </row>
    <row r="353" spans="1:9" hidden="1">
      <c r="A353" s="835">
        <v>52</v>
      </c>
      <c r="B353" s="233">
        <v>44086</v>
      </c>
      <c r="C353" s="233"/>
      <c r="D353" s="232" t="s">
        <v>347</v>
      </c>
      <c r="E353" s="471"/>
      <c r="F353" s="232"/>
      <c r="G353" s="234">
        <v>10000</v>
      </c>
      <c r="H353" s="607">
        <f>H352+F353-G353</f>
        <v>75950.31</v>
      </c>
      <c r="I353" s="173"/>
    </row>
    <row r="354" spans="1:9" hidden="1">
      <c r="A354" s="835">
        <v>53</v>
      </c>
      <c r="B354" s="233">
        <v>44093</v>
      </c>
      <c r="C354" s="233"/>
      <c r="D354" s="232" t="s">
        <v>347</v>
      </c>
      <c r="E354" s="471"/>
      <c r="F354" s="232"/>
      <c r="G354" s="234">
        <v>10000</v>
      </c>
      <c r="H354" s="234">
        <f>H353+F354-G354</f>
        <v>65950.31</v>
      </c>
      <c r="I354" s="173"/>
    </row>
    <row r="355" spans="1:9" hidden="1">
      <c r="A355" s="835">
        <v>54</v>
      </c>
      <c r="B355" s="231">
        <v>44100</v>
      </c>
      <c r="C355" s="231"/>
      <c r="D355" s="219" t="s">
        <v>347</v>
      </c>
      <c r="E355" s="816"/>
      <c r="F355" s="219"/>
      <c r="G355" s="220">
        <v>10000</v>
      </c>
      <c r="H355" s="220">
        <f>H354+F355-G355</f>
        <v>55950.31</v>
      </c>
      <c r="I355" s="173"/>
    </row>
    <row r="356" spans="1:9" ht="15" hidden="1">
      <c r="A356" s="835"/>
      <c r="B356" s="71"/>
      <c r="C356" s="71"/>
      <c r="D356" s="448" t="s">
        <v>59</v>
      </c>
      <c r="F356" s="6">
        <f>SUM(F346:F355)</f>
        <v>17585</v>
      </c>
      <c r="G356" s="6">
        <f>SUM(G346:G355)</f>
        <v>42651.479999999996</v>
      </c>
      <c r="H356" s="615">
        <f>H345+F356-G356</f>
        <v>55950.31</v>
      </c>
      <c r="I356" s="835"/>
    </row>
    <row r="357" spans="1:9" ht="15">
      <c r="A357" s="835"/>
      <c r="B357" s="946" t="s">
        <v>87</v>
      </c>
      <c r="C357" s="946"/>
      <c r="D357" s="946"/>
      <c r="E357" s="946"/>
      <c r="F357" s="946"/>
      <c r="G357" s="946"/>
      <c r="H357" s="946"/>
    </row>
    <row r="358" spans="1:9" ht="19.5" hidden="1">
      <c r="A358" s="616"/>
      <c r="B358" s="617"/>
      <c r="C358" s="617"/>
      <c r="D358" s="618" t="s">
        <v>24</v>
      </c>
      <c r="E358" s="619"/>
      <c r="F358" s="489"/>
      <c r="G358" s="489"/>
      <c r="H358" s="620">
        <v>55950.31</v>
      </c>
      <c r="I358" s="835"/>
    </row>
    <row r="359" spans="1:9" ht="15" hidden="1">
      <c r="A359" s="616">
        <v>55</v>
      </c>
      <c r="B359" s="621">
        <v>44107</v>
      </c>
      <c r="C359" s="621"/>
      <c r="D359" s="622" t="s">
        <v>347</v>
      </c>
      <c r="E359" s="548"/>
      <c r="F359" s="623"/>
      <c r="G359" s="624">
        <v>10000</v>
      </c>
      <c r="H359" s="625">
        <f>H358+F359-G359</f>
        <v>45950.31</v>
      </c>
      <c r="I359" s="835"/>
    </row>
    <row r="360" spans="1:9" ht="15" hidden="1">
      <c r="A360" s="616">
        <v>56</v>
      </c>
      <c r="B360" s="621">
        <v>44114</v>
      </c>
      <c r="C360" s="621"/>
      <c r="D360" s="622" t="s">
        <v>347</v>
      </c>
      <c r="E360" s="548"/>
      <c r="F360" s="623"/>
      <c r="G360" s="624">
        <v>10000</v>
      </c>
      <c r="H360" s="625">
        <f>H359+F360-G360</f>
        <v>35950.31</v>
      </c>
      <c r="I360" s="835"/>
    </row>
    <row r="361" spans="1:9" ht="15" hidden="1">
      <c r="A361" s="616">
        <v>57</v>
      </c>
      <c r="B361" s="626"/>
      <c r="C361" s="626"/>
      <c r="D361" s="627" t="s">
        <v>411</v>
      </c>
      <c r="E361" s="628"/>
      <c r="F361" s="629"/>
      <c r="G361" s="630"/>
      <c r="H361" s="625">
        <f>H360+F361-G361</f>
        <v>35950.31</v>
      </c>
      <c r="I361" s="835"/>
    </row>
    <row r="362" spans="1:9" ht="15" hidden="1">
      <c r="A362" s="616">
        <v>58</v>
      </c>
      <c r="B362" s="621">
        <v>44120</v>
      </c>
      <c r="C362" s="621"/>
      <c r="D362" s="631" t="s">
        <v>412</v>
      </c>
      <c r="E362" s="632"/>
      <c r="F362" s="633">
        <v>17584.98</v>
      </c>
      <c r="G362" s="634"/>
      <c r="H362" s="625">
        <f>H361+F362-G362</f>
        <v>53535.289999999994</v>
      </c>
    </row>
    <row r="363" spans="1:9" ht="15" hidden="1">
      <c r="A363" s="616">
        <v>59</v>
      </c>
      <c r="B363" s="621"/>
      <c r="C363" s="626"/>
      <c r="D363" s="629" t="s">
        <v>435</v>
      </c>
      <c r="E363" s="635"/>
      <c r="F363" s="623"/>
      <c r="G363" s="636">
        <v>652.55999999999995</v>
      </c>
      <c r="H363" s="625">
        <f>H362+F363-G363</f>
        <v>52882.729999999996</v>
      </c>
      <c r="I363" s="835"/>
    </row>
    <row r="364" spans="1:9" ht="15" hidden="1">
      <c r="A364" s="616">
        <v>60</v>
      </c>
      <c r="B364" s="637"/>
      <c r="C364" s="638"/>
      <c r="D364" s="639" t="s">
        <v>436</v>
      </c>
      <c r="E364" s="640"/>
      <c r="F364" s="629"/>
      <c r="G364" s="641">
        <v>321.75</v>
      </c>
      <c r="H364" s="625">
        <f>H363+F364-G364</f>
        <v>52560.979999999996</v>
      </c>
    </row>
    <row r="365" spans="1:9" ht="15" hidden="1">
      <c r="A365" s="616">
        <v>61</v>
      </c>
      <c r="B365" s="621"/>
      <c r="C365" s="621"/>
      <c r="D365" s="623" t="s">
        <v>437</v>
      </c>
      <c r="E365" s="548"/>
      <c r="F365" s="623"/>
      <c r="G365" s="624">
        <v>623.59</v>
      </c>
      <c r="H365" s="625">
        <f>H364+F365-G365</f>
        <v>51937.39</v>
      </c>
    </row>
    <row r="366" spans="1:9" ht="15" hidden="1">
      <c r="A366" s="616">
        <v>62</v>
      </c>
      <c r="B366" s="637"/>
      <c r="C366" s="637"/>
      <c r="D366" s="639" t="s">
        <v>438</v>
      </c>
      <c r="E366" s="642"/>
      <c r="F366" s="639"/>
      <c r="G366" s="643">
        <v>659.86</v>
      </c>
      <c r="H366" s="625">
        <f>H365+F366-G366</f>
        <v>51277.53</v>
      </c>
      <c r="I366" s="173"/>
    </row>
    <row r="367" spans="1:9" ht="15" hidden="1">
      <c r="A367" s="616">
        <v>63</v>
      </c>
      <c r="B367" s="621">
        <v>44121</v>
      </c>
      <c r="C367" s="621"/>
      <c r="D367" s="623"/>
      <c r="E367" s="548"/>
      <c r="F367" s="623"/>
      <c r="G367" s="624">
        <v>10000</v>
      </c>
      <c r="H367" s="625">
        <f>H366+F367-G367</f>
        <v>41277.53</v>
      </c>
      <c r="I367" s="173"/>
    </row>
    <row r="368" spans="1:9" ht="15" hidden="1">
      <c r="A368" s="616">
        <v>64</v>
      </c>
      <c r="B368" s="621">
        <v>44128</v>
      </c>
      <c r="C368" s="621"/>
      <c r="D368" s="623"/>
      <c r="E368" s="548"/>
      <c r="F368" s="623"/>
      <c r="G368" s="624">
        <v>10000</v>
      </c>
      <c r="H368" s="625">
        <f t="shared" ref="H368:H369" si="14">H367+F368-G368</f>
        <v>31277.53</v>
      </c>
      <c r="I368" s="173"/>
    </row>
    <row r="369" spans="1:9" ht="15" hidden="1">
      <c r="A369" s="616">
        <v>65</v>
      </c>
      <c r="B369" s="621">
        <v>44135</v>
      </c>
      <c r="C369" s="621"/>
      <c r="D369" s="623"/>
      <c r="E369" s="548"/>
      <c r="F369" s="623"/>
      <c r="G369" s="624">
        <v>10000</v>
      </c>
      <c r="H369" s="625">
        <f t="shared" si="14"/>
        <v>21277.53</v>
      </c>
      <c r="I369" s="173"/>
    </row>
    <row r="370" spans="1:9" ht="19.5" hidden="1">
      <c r="A370" s="616"/>
      <c r="B370" s="617"/>
      <c r="C370" s="617"/>
      <c r="D370" s="618" t="s">
        <v>59</v>
      </c>
      <c r="E370" s="619"/>
      <c r="F370" s="644">
        <f>SUM(F359:F369)</f>
        <v>17584.98</v>
      </c>
      <c r="G370" s="644">
        <f>SUM(G359:G369)</f>
        <v>52257.760000000002</v>
      </c>
      <c r="H370" s="620">
        <f>H358+F370-G370</f>
        <v>21277.529999999992</v>
      </c>
      <c r="I370" s="835"/>
    </row>
    <row r="371" spans="1:9">
      <c r="A371" s="835"/>
      <c r="B371" s="943" t="s">
        <v>330</v>
      </c>
      <c r="C371" s="943"/>
      <c r="D371" s="943"/>
      <c r="E371" s="943"/>
      <c r="F371" s="943"/>
      <c r="G371" s="943"/>
      <c r="H371" s="943"/>
    </row>
    <row r="372" spans="1:9" ht="19.5" hidden="1">
      <c r="A372" s="616"/>
      <c r="B372" s="617"/>
      <c r="C372" s="617"/>
      <c r="D372" s="618" t="s">
        <v>24</v>
      </c>
      <c r="E372" s="619"/>
      <c r="F372" s="489"/>
      <c r="G372" s="489"/>
      <c r="H372" s="620">
        <v>21277.53</v>
      </c>
      <c r="I372" s="835"/>
    </row>
    <row r="373" spans="1:9" ht="15" hidden="1">
      <c r="A373" s="616">
        <v>66</v>
      </c>
      <c r="B373" s="621"/>
      <c r="C373" s="621"/>
      <c r="D373" s="623" t="s">
        <v>411</v>
      </c>
      <c r="E373" s="548"/>
      <c r="F373" s="623"/>
      <c r="G373" s="623"/>
      <c r="H373" s="625">
        <f>H372+F373-G373</f>
        <v>21277.53</v>
      </c>
      <c r="I373" s="835"/>
    </row>
    <row r="374" spans="1:9" ht="15" hidden="1">
      <c r="A374" s="616">
        <v>67</v>
      </c>
      <c r="B374" s="621">
        <v>44153</v>
      </c>
      <c r="C374" s="621"/>
      <c r="D374" s="631" t="s">
        <v>412</v>
      </c>
      <c r="E374" s="650"/>
      <c r="F374" s="633">
        <v>17584.98</v>
      </c>
      <c r="G374" s="623"/>
      <c r="H374" s="625">
        <f>H373+F374-G374</f>
        <v>38862.509999999995</v>
      </c>
    </row>
    <row r="375" spans="1:9" ht="15" hidden="1">
      <c r="A375" s="616">
        <v>68</v>
      </c>
      <c r="B375" s="626">
        <v>44137</v>
      </c>
      <c r="C375" s="626"/>
      <c r="D375" s="629" t="s">
        <v>439</v>
      </c>
      <c r="E375" s="635"/>
      <c r="F375" s="627"/>
      <c r="G375" s="636">
        <v>652.55999999999995</v>
      </c>
      <c r="H375" s="651">
        <f>H374+F375-G375</f>
        <v>38209.949999999997</v>
      </c>
      <c r="I375" s="835"/>
    </row>
    <row r="376" spans="1:9" ht="15" hidden="1">
      <c r="A376" s="616">
        <v>69</v>
      </c>
      <c r="B376" s="621">
        <v>44137</v>
      </c>
      <c r="C376" s="638"/>
      <c r="D376" s="639" t="s">
        <v>440</v>
      </c>
      <c r="E376" s="640"/>
      <c r="F376" s="629"/>
      <c r="G376" s="641">
        <v>367.49</v>
      </c>
      <c r="H376" s="625">
        <f>H375+F376-G376</f>
        <v>37842.46</v>
      </c>
    </row>
    <row r="377" spans="1:9" ht="15" hidden="1">
      <c r="A377" s="616">
        <v>70</v>
      </c>
      <c r="B377" s="621">
        <v>44137</v>
      </c>
      <c r="C377" s="621"/>
      <c r="D377" s="623" t="s">
        <v>441</v>
      </c>
      <c r="E377" s="548"/>
      <c r="F377" s="623"/>
      <c r="G377" s="624">
        <v>602.36</v>
      </c>
      <c r="H377" s="625">
        <f>H376+F377-G377</f>
        <v>37240.1</v>
      </c>
    </row>
    <row r="378" spans="1:9" ht="15" hidden="1">
      <c r="A378" s="616">
        <v>71</v>
      </c>
      <c r="B378" s="637">
        <v>44137</v>
      </c>
      <c r="C378" s="637"/>
      <c r="D378" s="639" t="s">
        <v>442</v>
      </c>
      <c r="E378" s="642"/>
      <c r="F378" s="639"/>
      <c r="G378" s="643">
        <v>864.9</v>
      </c>
      <c r="H378" s="653">
        <f>H377+F378-G378</f>
        <v>36375.199999999997</v>
      </c>
      <c r="I378" s="173"/>
    </row>
    <row r="379" spans="1:9" ht="15" hidden="1">
      <c r="A379" s="616">
        <v>72</v>
      </c>
      <c r="B379" s="621">
        <v>44138</v>
      </c>
      <c r="C379" s="621"/>
      <c r="D379" s="622" t="s">
        <v>347</v>
      </c>
      <c r="E379" s="548"/>
      <c r="F379" s="623"/>
      <c r="G379" s="624">
        <v>10000</v>
      </c>
      <c r="H379" s="625">
        <f>H378+F379-G379</f>
        <v>26375.199999999997</v>
      </c>
      <c r="I379" s="835"/>
    </row>
    <row r="380" spans="1:9" ht="19.5" hidden="1">
      <c r="A380" s="616"/>
      <c r="B380" s="617"/>
      <c r="C380" s="617"/>
      <c r="D380" s="618" t="s">
        <v>59</v>
      </c>
      <c r="E380" s="619"/>
      <c r="F380" s="644">
        <f>SUM(F373:F379)</f>
        <v>17584.98</v>
      </c>
      <c r="G380" s="644">
        <f>SUM(G373:G379)</f>
        <v>12487.31</v>
      </c>
      <c r="H380" s="620">
        <f>H372+F380-G380</f>
        <v>26375.199999999997</v>
      </c>
      <c r="I380" s="835"/>
    </row>
    <row r="381" spans="1:9" ht="15">
      <c r="A381" s="836" t="s">
        <v>443</v>
      </c>
      <c r="B381" s="965" t="s">
        <v>74</v>
      </c>
      <c r="C381" s="965"/>
      <c r="D381" s="965"/>
      <c r="E381" s="965"/>
      <c r="F381" s="965"/>
      <c r="G381" s="965"/>
      <c r="H381" s="965"/>
    </row>
    <row r="382" spans="1:9" ht="19.5" hidden="1">
      <c r="A382" s="616"/>
      <c r="B382" s="617"/>
      <c r="C382" s="617"/>
      <c r="D382" s="618" t="s">
        <v>24</v>
      </c>
      <c r="E382" s="619"/>
      <c r="F382" s="489"/>
      <c r="G382" s="489"/>
      <c r="H382" s="620">
        <v>26375.200000000001</v>
      </c>
      <c r="I382" s="835"/>
    </row>
    <row r="383" spans="1:9" ht="15" hidden="1">
      <c r="A383" s="616">
        <v>73</v>
      </c>
      <c r="B383" s="621"/>
      <c r="C383" s="621"/>
      <c r="D383" s="623" t="s">
        <v>411</v>
      </c>
      <c r="E383" s="548"/>
      <c r="F383" s="623"/>
      <c r="G383" s="623"/>
      <c r="H383" s="625">
        <f>H382+F383-G383</f>
        <v>26375.200000000001</v>
      </c>
      <c r="I383" s="835"/>
    </row>
    <row r="384" spans="1:9" ht="15" hidden="1">
      <c r="A384" s="616">
        <v>74</v>
      </c>
      <c r="B384" s="621"/>
      <c r="C384" s="621"/>
      <c r="D384" s="631" t="s">
        <v>412</v>
      </c>
      <c r="E384" s="650"/>
      <c r="F384" s="633">
        <v>27696.36</v>
      </c>
      <c r="G384" s="623"/>
      <c r="H384" s="625">
        <f>H383+F384-G384</f>
        <v>54071.56</v>
      </c>
    </row>
    <row r="385" spans="1:9" ht="15" hidden="1">
      <c r="A385" s="616">
        <v>75</v>
      </c>
      <c r="B385" s="626">
        <v>44169</v>
      </c>
      <c r="C385" s="626"/>
      <c r="D385" s="629" t="s">
        <v>444</v>
      </c>
      <c r="E385" s="635"/>
      <c r="F385" s="627"/>
      <c r="G385" s="636">
        <v>652.55999999999995</v>
      </c>
      <c r="H385" s="651">
        <f>H384+F385-G385</f>
        <v>53419</v>
      </c>
      <c r="I385" s="835"/>
    </row>
    <row r="386" spans="1:9" ht="15" hidden="1">
      <c r="A386" s="616">
        <v>76</v>
      </c>
      <c r="B386" s="626">
        <v>44169</v>
      </c>
      <c r="C386" s="638"/>
      <c r="D386" s="639" t="s">
        <v>445</v>
      </c>
      <c r="E386" s="640"/>
      <c r="F386" s="629"/>
      <c r="G386" s="641">
        <v>367.49</v>
      </c>
      <c r="H386" s="625">
        <f>H385+F386-G386</f>
        <v>53051.51</v>
      </c>
    </row>
    <row r="387" spans="1:9" ht="15" hidden="1">
      <c r="A387" s="616">
        <v>77</v>
      </c>
      <c r="B387" s="707">
        <v>44169</v>
      </c>
      <c r="C387" s="637"/>
      <c r="D387" s="639" t="s">
        <v>446</v>
      </c>
      <c r="E387" s="642"/>
      <c r="F387" s="639"/>
      <c r="G387" s="643">
        <v>599.4</v>
      </c>
      <c r="H387" s="653">
        <f>H386+F387-G387</f>
        <v>52452.11</v>
      </c>
    </row>
    <row r="388" spans="1:9" ht="15" hidden="1">
      <c r="A388" s="706">
        <v>78</v>
      </c>
      <c r="B388" s="621"/>
      <c r="C388" s="621"/>
      <c r="D388" s="623" t="s">
        <v>447</v>
      </c>
      <c r="E388" s="548"/>
      <c r="F388" s="623"/>
      <c r="G388" s="624">
        <v>1299.96</v>
      </c>
      <c r="H388" s="625">
        <f>H387+F388-G388</f>
        <v>51152.15</v>
      </c>
      <c r="I388" s="173"/>
    </row>
    <row r="389" spans="1:9" ht="15" hidden="1">
      <c r="A389" s="706">
        <v>79</v>
      </c>
      <c r="B389" s="621">
        <v>44170</v>
      </c>
      <c r="C389" s="621"/>
      <c r="D389" s="622" t="s">
        <v>347</v>
      </c>
      <c r="E389" s="548"/>
      <c r="F389" s="623"/>
      <c r="G389" s="624">
        <v>10000</v>
      </c>
      <c r="H389" s="625">
        <f>H388+F389-G389</f>
        <v>41152.15</v>
      </c>
      <c r="I389" s="835"/>
    </row>
    <row r="390" spans="1:9" ht="15" hidden="1">
      <c r="A390" s="706">
        <v>80</v>
      </c>
      <c r="B390" s="621">
        <v>44177</v>
      </c>
      <c r="C390" s="621"/>
      <c r="D390" s="622" t="s">
        <v>347</v>
      </c>
      <c r="E390" s="548"/>
      <c r="F390" s="623"/>
      <c r="G390" s="624">
        <v>10000</v>
      </c>
      <c r="H390" s="625">
        <f>H389+F390-G390</f>
        <v>31152.15</v>
      </c>
      <c r="I390" s="835"/>
    </row>
    <row r="391" spans="1:9" ht="15" hidden="1">
      <c r="A391" s="706">
        <v>81</v>
      </c>
      <c r="B391" s="621">
        <v>44184</v>
      </c>
      <c r="C391" s="621"/>
      <c r="D391" s="622" t="s">
        <v>347</v>
      </c>
      <c r="E391" s="548"/>
      <c r="F391" s="623"/>
      <c r="G391" s="624">
        <v>10000</v>
      </c>
      <c r="H391" s="625">
        <f>H390+F391-G391</f>
        <v>21152.15</v>
      </c>
      <c r="I391" s="835"/>
    </row>
    <row r="392" spans="1:9" ht="15" hidden="1">
      <c r="A392" s="706">
        <v>82</v>
      </c>
      <c r="B392" s="621">
        <v>44191</v>
      </c>
      <c r="C392" s="621"/>
      <c r="D392" s="622" t="s">
        <v>347</v>
      </c>
      <c r="E392" s="548"/>
      <c r="F392" s="623"/>
      <c r="G392" s="624">
        <v>10000</v>
      </c>
      <c r="H392" s="625">
        <f>H391+F392-G392</f>
        <v>11152.150000000001</v>
      </c>
      <c r="I392" s="835"/>
    </row>
    <row r="393" spans="1:9" ht="19.5" hidden="1">
      <c r="A393" s="616"/>
      <c r="B393" s="617"/>
      <c r="C393" s="617"/>
      <c r="D393" s="618" t="s">
        <v>59</v>
      </c>
      <c r="E393" s="619"/>
      <c r="F393" s="644">
        <f>SUM(F383:F392)</f>
        <v>27696.36</v>
      </c>
      <c r="G393" s="644">
        <f>SUM(G383:G392)</f>
        <v>42919.41</v>
      </c>
      <c r="H393" s="620">
        <f>H382+F393-G393</f>
        <v>11152.149999999994</v>
      </c>
      <c r="I393" s="835">
        <v>3455.79</v>
      </c>
    </row>
    <row r="394" spans="1:9" ht="15">
      <c r="A394" s="836" t="s">
        <v>448</v>
      </c>
      <c r="B394" s="934" t="s">
        <v>449</v>
      </c>
      <c r="C394" s="934"/>
      <c r="D394" s="934"/>
      <c r="E394" s="934"/>
      <c r="F394" s="934"/>
      <c r="G394" s="934"/>
      <c r="H394" s="934"/>
    </row>
    <row r="395" spans="1:9" ht="19.5">
      <c r="A395" s="616"/>
      <c r="B395" s="617"/>
      <c r="C395" s="617"/>
      <c r="D395" s="618" t="s">
        <v>24</v>
      </c>
      <c r="E395" s="619"/>
      <c r="F395" s="489"/>
      <c r="G395" s="489"/>
      <c r="H395" s="620">
        <v>11152.15</v>
      </c>
      <c r="I395" s="835"/>
    </row>
    <row r="396" spans="1:9" ht="15">
      <c r="A396" s="616">
        <v>1</v>
      </c>
      <c r="B396" s="231"/>
      <c r="C396" s="621"/>
      <c r="D396" s="623" t="s">
        <v>411</v>
      </c>
      <c r="E396" s="548"/>
      <c r="F396" s="623"/>
      <c r="G396" s="623"/>
      <c r="H396" s="625">
        <f>H395+F396-G396</f>
        <v>11152.15</v>
      </c>
      <c r="I396" s="835"/>
    </row>
    <row r="397" spans="1:9" ht="15">
      <c r="A397" s="616">
        <v>2</v>
      </c>
      <c r="B397" s="231"/>
      <c r="C397" s="621"/>
      <c r="D397" s="631" t="s">
        <v>412</v>
      </c>
      <c r="E397" s="650"/>
      <c r="F397" s="633">
        <v>18464.23</v>
      </c>
      <c r="G397" s="623"/>
      <c r="H397" s="625">
        <f>H396+F397-G397</f>
        <v>29616.379999999997</v>
      </c>
    </row>
    <row r="398" spans="1:9" ht="15">
      <c r="A398" s="616">
        <v>3</v>
      </c>
      <c r="B398" s="452">
        <v>44207</v>
      </c>
      <c r="C398" s="626">
        <v>44209</v>
      </c>
      <c r="D398" s="629" t="s">
        <v>450</v>
      </c>
      <c r="E398" s="635"/>
      <c r="F398" s="627"/>
      <c r="G398" s="636">
        <v>652.55999999999995</v>
      </c>
      <c r="H398" s="651">
        <f>H397+F398-G398</f>
        <v>28963.819999999996</v>
      </c>
      <c r="I398" s="835"/>
    </row>
    <row r="399" spans="1:9" ht="15">
      <c r="A399" s="616">
        <v>4</v>
      </c>
      <c r="B399" s="452">
        <v>44207</v>
      </c>
      <c r="C399" s="638">
        <v>44208</v>
      </c>
      <c r="D399" s="639" t="s">
        <v>451</v>
      </c>
      <c r="E399" s="640"/>
      <c r="F399" s="629"/>
      <c r="G399" s="641">
        <v>414.62</v>
      </c>
      <c r="H399" s="625">
        <f>H398+F399-G399</f>
        <v>28549.199999999997</v>
      </c>
    </row>
    <row r="400" spans="1:9" ht="15">
      <c r="A400" s="616">
        <v>5</v>
      </c>
      <c r="B400" s="452">
        <v>44207</v>
      </c>
      <c r="C400" s="637">
        <v>44210</v>
      </c>
      <c r="D400" s="639" t="s">
        <v>452</v>
      </c>
      <c r="E400" s="642"/>
      <c r="F400" s="639"/>
      <c r="G400" s="643">
        <v>285.89</v>
      </c>
      <c r="H400" s="653">
        <f>H399+F400-G400</f>
        <v>28263.309999999998</v>
      </c>
      <c r="I400">
        <f>SUM(G398:G400)</f>
        <v>1353.0699999999997</v>
      </c>
    </row>
    <row r="401" spans="1:9" ht="15">
      <c r="A401" s="706">
        <v>6</v>
      </c>
      <c r="B401" s="231">
        <v>44205</v>
      </c>
      <c r="C401" s="621">
        <v>44214</v>
      </c>
      <c r="D401" s="623" t="s">
        <v>453</v>
      </c>
      <c r="E401" s="548"/>
      <c r="F401" s="623"/>
      <c r="G401" s="624">
        <v>1781.95</v>
      </c>
      <c r="H401" s="625">
        <f>H400+F401-G401</f>
        <v>26481.359999999997</v>
      </c>
      <c r="I401" s="173"/>
    </row>
    <row r="402" spans="1:9" ht="15">
      <c r="A402" s="706">
        <v>7</v>
      </c>
      <c r="B402" s="231">
        <v>44219</v>
      </c>
      <c r="C402" s="621"/>
      <c r="D402" s="622" t="s">
        <v>347</v>
      </c>
      <c r="E402" s="548"/>
      <c r="F402" s="623"/>
      <c r="G402" s="624">
        <v>10000</v>
      </c>
      <c r="H402" s="625">
        <f>H401+F402-G402</f>
        <v>16481.359999999997</v>
      </c>
      <c r="I402" s="835"/>
    </row>
    <row r="403" spans="1:9" ht="19.5">
      <c r="A403" s="616"/>
      <c r="B403" s="617"/>
      <c r="C403" s="617"/>
      <c r="D403" s="618" t="s">
        <v>59</v>
      </c>
      <c r="E403" s="619"/>
      <c r="F403" s="644">
        <f>SUM(F396:F402)</f>
        <v>18464.23</v>
      </c>
      <c r="G403" s="644">
        <f>SUM(G396:G402)</f>
        <v>13135.02</v>
      </c>
      <c r="H403" s="620">
        <f>H395+F403-G403</f>
        <v>16481.359999999997</v>
      </c>
      <c r="I403" s="835"/>
    </row>
    <row r="404" spans="1:9" ht="15">
      <c r="A404" s="836" t="s">
        <v>448</v>
      </c>
      <c r="B404" s="966" t="s">
        <v>76</v>
      </c>
      <c r="C404" s="967"/>
      <c r="D404" s="967"/>
      <c r="E404" s="967"/>
      <c r="F404" s="967"/>
      <c r="G404" s="967"/>
      <c r="H404" s="967"/>
    </row>
    <row r="405" spans="1:9" ht="19.5">
      <c r="A405" s="616"/>
      <c r="B405" s="617"/>
      <c r="C405" s="617"/>
      <c r="D405" s="618" t="s">
        <v>24</v>
      </c>
      <c r="E405" s="619"/>
      <c r="F405" s="489"/>
      <c r="G405" s="489"/>
      <c r="H405" s="620">
        <v>16481.36</v>
      </c>
      <c r="I405" s="835"/>
    </row>
    <row r="406" spans="1:9" ht="15">
      <c r="A406" s="616">
        <v>8</v>
      </c>
      <c r="B406" s="231"/>
      <c r="C406" s="621"/>
      <c r="D406" s="623" t="s">
        <v>411</v>
      </c>
      <c r="E406" s="548"/>
      <c r="F406" s="623"/>
      <c r="G406" s="623"/>
      <c r="H406" s="764">
        <f>H405+F406-G406</f>
        <v>16481.36</v>
      </c>
      <c r="I406" s="835"/>
    </row>
    <row r="407" spans="1:9" ht="15">
      <c r="A407" s="616">
        <v>9</v>
      </c>
      <c r="B407" s="231">
        <v>44250</v>
      </c>
      <c r="C407" s="621"/>
      <c r="D407" s="631" t="s">
        <v>412</v>
      </c>
      <c r="E407" s="650"/>
      <c r="F407" s="633">
        <v>18464.23</v>
      </c>
      <c r="G407" s="623"/>
      <c r="H407" s="764">
        <f>H406+F407-G407</f>
        <v>34945.589999999997</v>
      </c>
    </row>
    <row r="408" spans="1:9" ht="15">
      <c r="A408" s="616">
        <v>10</v>
      </c>
      <c r="B408" s="452">
        <v>44233</v>
      </c>
      <c r="C408" s="626"/>
      <c r="D408" s="629" t="s">
        <v>454</v>
      </c>
      <c r="E408" s="635"/>
      <c r="F408" s="627"/>
      <c r="G408" s="636">
        <v>652.55999999999995</v>
      </c>
      <c r="H408" s="765">
        <f>H407+F408-G408</f>
        <v>34293.03</v>
      </c>
      <c r="I408" s="835"/>
    </row>
    <row r="409" spans="1:9" ht="15">
      <c r="A409" s="616">
        <v>11</v>
      </c>
      <c r="B409" s="790">
        <v>44237</v>
      </c>
      <c r="C409" s="638"/>
      <c r="D409" s="639" t="s">
        <v>455</v>
      </c>
      <c r="E409" s="640"/>
      <c r="F409" s="629"/>
      <c r="G409" s="641">
        <v>428.69</v>
      </c>
      <c r="H409" s="766">
        <f>H408+F409-G409</f>
        <v>33864.339999999997</v>
      </c>
    </row>
    <row r="410" spans="1:9" ht="15">
      <c r="A410" s="616">
        <v>12</v>
      </c>
      <c r="B410" s="231">
        <v>44233</v>
      </c>
      <c r="C410" s="621"/>
      <c r="D410" s="623" t="s">
        <v>456</v>
      </c>
      <c r="E410" s="548"/>
      <c r="F410" s="623"/>
      <c r="G410" s="624">
        <v>297.87</v>
      </c>
      <c r="H410" s="764">
        <f>H409+F410-G410</f>
        <v>33566.469999999994</v>
      </c>
    </row>
    <row r="411" spans="1:9" ht="15">
      <c r="A411" s="616">
        <v>13</v>
      </c>
      <c r="B411" s="231">
        <v>44240</v>
      </c>
      <c r="C411" s="621"/>
      <c r="D411" s="623" t="s">
        <v>457</v>
      </c>
      <c r="E411" s="548"/>
      <c r="F411" s="623"/>
      <c r="G411" s="624">
        <v>1867.62</v>
      </c>
      <c r="H411" s="764">
        <f>H410+F411-G411</f>
        <v>31698.849999999995</v>
      </c>
      <c r="I411" s="173"/>
    </row>
    <row r="412" spans="1:9" ht="15">
      <c r="A412" s="616">
        <v>14</v>
      </c>
      <c r="B412" s="231"/>
      <c r="C412" s="621">
        <v>44237</v>
      </c>
      <c r="D412" s="623" t="s">
        <v>458</v>
      </c>
      <c r="E412" s="548"/>
      <c r="F412" s="623"/>
      <c r="G412" s="624">
        <v>5859.6</v>
      </c>
      <c r="H412" s="764">
        <f>H411+F412-G412</f>
        <v>25839.249999999993</v>
      </c>
      <c r="I412" s="173"/>
    </row>
    <row r="413" spans="1:9" ht="15">
      <c r="A413" s="616">
        <v>15</v>
      </c>
      <c r="B413" s="231">
        <v>44233</v>
      </c>
      <c r="C413" s="621"/>
      <c r="D413" s="622" t="s">
        <v>459</v>
      </c>
      <c r="E413" s="548"/>
      <c r="F413" s="623"/>
      <c r="G413" s="624">
        <v>3375.3</v>
      </c>
      <c r="H413" s="764">
        <f>H412+F413-G413</f>
        <v>22463.949999999993</v>
      </c>
      <c r="I413" s="835"/>
    </row>
    <row r="414" spans="1:9" ht="15">
      <c r="A414" s="616">
        <v>16</v>
      </c>
      <c r="B414" s="231">
        <v>44250</v>
      </c>
      <c r="C414" s="621"/>
      <c r="D414" s="622" t="s">
        <v>347</v>
      </c>
      <c r="E414" s="548"/>
      <c r="F414" s="624"/>
      <c r="G414" s="624">
        <v>10000</v>
      </c>
      <c r="H414" s="764">
        <f>H413+F414-G414</f>
        <v>12463.949999999993</v>
      </c>
      <c r="I414" s="835"/>
    </row>
    <row r="415" spans="1:9" ht="19.5">
      <c r="A415" s="616"/>
      <c r="B415" s="617"/>
      <c r="C415" s="617"/>
      <c r="D415" s="618" t="s">
        <v>59</v>
      </c>
      <c r="E415" s="619"/>
      <c r="F415" s="644">
        <f>SUM(F406:F414)</f>
        <v>18464.23</v>
      </c>
      <c r="G415" s="644">
        <f>SUM(G406:G414)</f>
        <v>22481.64</v>
      </c>
      <c r="H415" s="620">
        <f>H405+F415-G415</f>
        <v>12463.949999999997</v>
      </c>
      <c r="I415" s="835"/>
    </row>
    <row r="416" spans="1:9" ht="15">
      <c r="A416" s="836" t="s">
        <v>448</v>
      </c>
      <c r="B416" s="966" t="s">
        <v>460</v>
      </c>
      <c r="C416" s="967"/>
      <c r="D416" s="967"/>
      <c r="E416" s="967"/>
      <c r="F416" s="967"/>
      <c r="G416" s="967"/>
      <c r="H416" s="967"/>
    </row>
    <row r="417" spans="1:9" ht="19.5">
      <c r="A417" s="616"/>
      <c r="B417" s="617"/>
      <c r="C417" s="617"/>
      <c r="D417" s="618" t="s">
        <v>24</v>
      </c>
      <c r="E417" s="619"/>
      <c r="F417" s="489"/>
      <c r="G417" s="489"/>
      <c r="H417" s="620">
        <v>12463.95</v>
      </c>
      <c r="I417" s="835"/>
    </row>
    <row r="418" spans="1:9" ht="15">
      <c r="A418" s="616">
        <v>8</v>
      </c>
      <c r="B418" s="231"/>
      <c r="C418" s="621"/>
      <c r="D418" s="623" t="s">
        <v>411</v>
      </c>
      <c r="E418" s="548"/>
      <c r="F418" s="623"/>
      <c r="G418" s="623"/>
      <c r="H418" s="764">
        <f>H417+F418-G418</f>
        <v>12463.95</v>
      </c>
      <c r="I418" s="835"/>
    </row>
    <row r="419" spans="1:9" ht="15">
      <c r="A419" s="616">
        <v>9</v>
      </c>
      <c r="B419" s="231">
        <v>44272</v>
      </c>
      <c r="C419" s="621"/>
      <c r="D419" s="631" t="s">
        <v>412</v>
      </c>
      <c r="E419" s="650"/>
      <c r="F419" s="633">
        <v>19954.41</v>
      </c>
      <c r="G419" s="623"/>
      <c r="H419" s="764">
        <f>H418+F419-G419</f>
        <v>32418.36</v>
      </c>
    </row>
    <row r="420" spans="1:9" ht="15">
      <c r="A420" s="616">
        <v>10</v>
      </c>
      <c r="B420" s="452"/>
      <c r="C420" s="626"/>
      <c r="D420" s="629" t="s">
        <v>461</v>
      </c>
      <c r="E420" s="635"/>
      <c r="F420" s="627"/>
      <c r="G420" s="636">
        <v>652.55999999999995</v>
      </c>
      <c r="H420" s="765">
        <f>H419+F420-G420</f>
        <v>31765.8</v>
      </c>
      <c r="I420" s="835"/>
    </row>
    <row r="421" spans="1:9" ht="15">
      <c r="A421" s="616">
        <v>11</v>
      </c>
      <c r="B421" s="790"/>
      <c r="C421" s="638"/>
      <c r="D421" s="639" t="s">
        <v>462</v>
      </c>
      <c r="E421" s="640"/>
      <c r="F421" s="629"/>
      <c r="G421" s="641">
        <v>437.23</v>
      </c>
      <c r="H421" s="766">
        <f>H420+F421-G421</f>
        <v>31328.57</v>
      </c>
    </row>
    <row r="422" spans="1:9" ht="15">
      <c r="A422" s="616">
        <v>12</v>
      </c>
      <c r="B422" s="231"/>
      <c r="C422" s="621"/>
      <c r="D422" s="623" t="s">
        <v>463</v>
      </c>
      <c r="E422" s="548"/>
      <c r="F422" s="623"/>
      <c r="G422" s="624">
        <v>270.31</v>
      </c>
      <c r="H422" s="764">
        <f>H421+F422-G422</f>
        <v>31058.26</v>
      </c>
    </row>
    <row r="423" spans="1:9" ht="15">
      <c r="A423" s="616">
        <v>13</v>
      </c>
      <c r="B423" s="231"/>
      <c r="C423" s="621"/>
      <c r="D423" s="623" t="s">
        <v>464</v>
      </c>
      <c r="E423" s="548"/>
      <c r="F423" s="623"/>
      <c r="G423" s="624">
        <v>1687.25</v>
      </c>
      <c r="H423" s="764">
        <f>H422+F423-G423</f>
        <v>29371.01</v>
      </c>
      <c r="I423" s="173"/>
    </row>
    <row r="424" spans="1:9" ht="15">
      <c r="A424" s="616">
        <v>14</v>
      </c>
      <c r="B424" s="231"/>
      <c r="C424" s="621"/>
      <c r="D424" s="623" t="s">
        <v>458</v>
      </c>
      <c r="E424" s="548"/>
      <c r="F424" s="623"/>
      <c r="G424" s="624"/>
      <c r="H424" s="764">
        <f>H423+F424-G424</f>
        <v>29371.01</v>
      </c>
      <c r="I424" s="173"/>
    </row>
    <row r="425" spans="1:9" ht="15">
      <c r="A425" s="616">
        <v>15</v>
      </c>
      <c r="B425" s="231"/>
      <c r="C425" s="621"/>
      <c r="D425" s="622" t="s">
        <v>459</v>
      </c>
      <c r="E425" s="548"/>
      <c r="F425" s="623"/>
      <c r="G425" s="624"/>
      <c r="H425" s="764">
        <f>H424+F425-G425</f>
        <v>29371.01</v>
      </c>
      <c r="I425" s="835"/>
    </row>
    <row r="426" spans="1:9" ht="15">
      <c r="A426" s="616">
        <v>16</v>
      </c>
      <c r="B426" s="231">
        <v>44271</v>
      </c>
      <c r="C426" s="621"/>
      <c r="D426" s="622" t="s">
        <v>347</v>
      </c>
      <c r="E426" s="548"/>
      <c r="F426" s="624"/>
      <c r="G426" s="624">
        <v>10000</v>
      </c>
      <c r="H426" s="764">
        <f>H425+F426-G426</f>
        <v>19371.009999999998</v>
      </c>
      <c r="I426" s="835"/>
    </row>
    <row r="427" spans="1:9" ht="19.5">
      <c r="A427" s="616"/>
      <c r="B427" s="617"/>
      <c r="C427" s="617"/>
      <c r="D427" s="618" t="s">
        <v>59</v>
      </c>
      <c r="E427" s="619"/>
      <c r="F427" s="644">
        <f>SUM(F418:F426)</f>
        <v>19954.41</v>
      </c>
      <c r="G427" s="644">
        <f>SUM(G418:G426)</f>
        <v>13047.35</v>
      </c>
      <c r="H427" s="620">
        <f>H417+F427-G427</f>
        <v>19371.010000000002</v>
      </c>
      <c r="I427" s="835"/>
    </row>
    <row r="428" spans="1:9" ht="15">
      <c r="A428" s="836" t="s">
        <v>448</v>
      </c>
      <c r="B428" s="937" t="s">
        <v>81</v>
      </c>
      <c r="C428" s="938"/>
      <c r="D428" s="938"/>
      <c r="E428" s="938"/>
      <c r="F428" s="938"/>
      <c r="G428" s="938"/>
      <c r="H428" s="938"/>
      <c r="I428" s="836"/>
    </row>
    <row r="429" spans="1:9" ht="19.5">
      <c r="A429" s="616"/>
      <c r="B429" s="617"/>
      <c r="C429" s="617"/>
      <c r="D429" s="618" t="s">
        <v>24</v>
      </c>
      <c r="E429" s="619"/>
      <c r="F429" s="489"/>
      <c r="G429" s="489"/>
      <c r="H429" s="620">
        <v>19371.009999999998</v>
      </c>
      <c r="I429" s="616"/>
    </row>
    <row r="430" spans="1:9" ht="15">
      <c r="A430" s="616">
        <v>17</v>
      </c>
      <c r="B430" s="231"/>
      <c r="C430" s="621"/>
      <c r="D430" s="623" t="s">
        <v>411</v>
      </c>
      <c r="E430" s="548"/>
      <c r="F430" s="623"/>
      <c r="G430" s="623"/>
      <c r="H430" s="764">
        <f t="shared" ref="H430:H440" si="15">H429+F430-G430</f>
        <v>19371.009999999998</v>
      </c>
      <c r="I430" s="616"/>
    </row>
    <row r="431" spans="1:9" ht="15">
      <c r="A431" s="616">
        <v>18</v>
      </c>
      <c r="B431" s="231">
        <v>44306</v>
      </c>
      <c r="C431" s="621"/>
      <c r="D431" s="631" t="s">
        <v>412</v>
      </c>
      <c r="E431" s="650"/>
      <c r="F431" s="633">
        <v>19954.32</v>
      </c>
      <c r="G431" s="623"/>
      <c r="H431" s="764">
        <f t="shared" si="15"/>
        <v>39325.33</v>
      </c>
      <c r="I431" s="616"/>
    </row>
    <row r="432" spans="1:9" ht="15">
      <c r="A432" s="616">
        <v>19</v>
      </c>
      <c r="B432" s="452"/>
      <c r="C432" s="626"/>
      <c r="D432" s="629" t="s">
        <v>465</v>
      </c>
      <c r="E432" s="635"/>
      <c r="F432" s="627"/>
      <c r="G432" s="636">
        <v>652.55999999999995</v>
      </c>
      <c r="H432" s="765">
        <f t="shared" si="15"/>
        <v>38672.770000000004</v>
      </c>
      <c r="I432" s="616"/>
    </row>
    <row r="433" spans="1:9" ht="15">
      <c r="A433" s="616">
        <v>20</v>
      </c>
      <c r="B433" s="790"/>
      <c r="C433" s="638"/>
      <c r="D433" s="639" t="s">
        <v>462</v>
      </c>
      <c r="E433" s="640"/>
      <c r="F433" s="629"/>
      <c r="G433" s="641">
        <v>433.61</v>
      </c>
      <c r="H433" s="766">
        <f t="shared" si="15"/>
        <v>38239.160000000003</v>
      </c>
      <c r="I433" s="616"/>
    </row>
    <row r="434" spans="1:9" ht="15">
      <c r="A434" s="616">
        <v>21</v>
      </c>
      <c r="B434" s="231"/>
      <c r="C434" s="621"/>
      <c r="D434" s="623" t="s">
        <v>463</v>
      </c>
      <c r="E434" s="548"/>
      <c r="F434" s="623"/>
      <c r="G434" s="624">
        <v>272.33</v>
      </c>
      <c r="H434" s="764">
        <f t="shared" si="15"/>
        <v>37966.83</v>
      </c>
      <c r="I434" s="616"/>
    </row>
    <row r="435" spans="1:9" ht="15">
      <c r="A435" s="616">
        <v>22</v>
      </c>
      <c r="B435" s="231"/>
      <c r="C435" s="621"/>
      <c r="D435" s="623" t="s">
        <v>464</v>
      </c>
      <c r="E435" s="548"/>
      <c r="F435" s="623"/>
      <c r="G435" s="624">
        <v>1678.6</v>
      </c>
      <c r="H435" s="764">
        <f t="shared" si="15"/>
        <v>36288.230000000003</v>
      </c>
      <c r="I435" s="616"/>
    </row>
    <row r="436" spans="1:9" ht="15">
      <c r="A436" s="616">
        <v>23</v>
      </c>
      <c r="B436" s="231"/>
      <c r="C436" s="621"/>
      <c r="D436" s="623" t="s">
        <v>458</v>
      </c>
      <c r="E436" s="548"/>
      <c r="F436" s="623"/>
      <c r="G436" s="624"/>
      <c r="H436" s="764">
        <f t="shared" si="15"/>
        <v>36288.230000000003</v>
      </c>
      <c r="I436" s="616"/>
    </row>
    <row r="437" spans="1:9" ht="15">
      <c r="A437" s="616">
        <v>24</v>
      </c>
      <c r="B437" s="233"/>
      <c r="C437" s="637"/>
      <c r="D437" s="803" t="s">
        <v>459</v>
      </c>
      <c r="E437" s="642"/>
      <c r="F437" s="639"/>
      <c r="G437" s="643"/>
      <c r="H437" s="766">
        <f t="shared" si="15"/>
        <v>36288.230000000003</v>
      </c>
      <c r="I437" s="616"/>
    </row>
    <row r="438" spans="1:9" ht="15">
      <c r="A438" s="616">
        <v>25</v>
      </c>
      <c r="B438" s="231">
        <v>44292</v>
      </c>
      <c r="C438" s="621"/>
      <c r="D438" s="622" t="s">
        <v>347</v>
      </c>
      <c r="E438" s="548"/>
      <c r="F438" s="624"/>
      <c r="G438" s="624">
        <v>10000</v>
      </c>
      <c r="H438" s="764">
        <f t="shared" si="15"/>
        <v>26288.230000000003</v>
      </c>
      <c r="I438" s="616"/>
    </row>
    <row r="439" spans="1:9" ht="15">
      <c r="A439" s="616">
        <v>26</v>
      </c>
      <c r="B439" s="233">
        <v>44306</v>
      </c>
      <c r="C439" s="637"/>
      <c r="D439" s="803" t="s">
        <v>347</v>
      </c>
      <c r="E439" s="642"/>
      <c r="F439" s="643"/>
      <c r="G439" s="643">
        <v>2000</v>
      </c>
      <c r="H439" s="764">
        <f t="shared" si="15"/>
        <v>24288.230000000003</v>
      </c>
      <c r="I439" s="616"/>
    </row>
    <row r="440" spans="1:9" ht="15">
      <c r="A440" s="616">
        <v>27</v>
      </c>
      <c r="B440" s="231">
        <v>44310</v>
      </c>
      <c r="C440" s="621"/>
      <c r="D440" s="622" t="s">
        <v>347</v>
      </c>
      <c r="E440" s="548"/>
      <c r="F440" s="624"/>
      <c r="G440" s="624">
        <v>10000</v>
      </c>
      <c r="H440" s="804">
        <f t="shared" si="15"/>
        <v>14288.230000000003</v>
      </c>
      <c r="I440" s="616"/>
    </row>
    <row r="441" spans="1:9" ht="19.5">
      <c r="A441" s="616"/>
      <c r="B441" s="617"/>
      <c r="C441" s="617"/>
      <c r="D441" s="618" t="s">
        <v>59</v>
      </c>
      <c r="E441" s="619"/>
      <c r="F441" s="644">
        <f t="shared" ref="F441" si="16">SUM(F430:F438)</f>
        <v>19954.32</v>
      </c>
      <c r="G441" s="644">
        <f>SUM(G430:G440)</f>
        <v>25037.1</v>
      </c>
      <c r="H441" s="806">
        <f t="shared" ref="H441" si="17">H429+F441-G441</f>
        <v>14288.230000000003</v>
      </c>
      <c r="I441" s="616"/>
    </row>
    <row r="442" spans="1:9" ht="15">
      <c r="A442" s="836" t="s">
        <v>448</v>
      </c>
      <c r="B442" s="937" t="s">
        <v>466</v>
      </c>
      <c r="C442" s="938"/>
      <c r="D442" s="938"/>
      <c r="E442" s="938"/>
      <c r="F442" s="938"/>
      <c r="G442" s="938"/>
      <c r="H442" s="938"/>
      <c r="I442" s="836"/>
    </row>
    <row r="443" spans="1:9" ht="19.5">
      <c r="A443" s="616"/>
      <c r="B443" s="617"/>
      <c r="C443" s="617"/>
      <c r="D443" s="618" t="s">
        <v>24</v>
      </c>
      <c r="E443" s="619"/>
      <c r="F443" s="489"/>
      <c r="G443" s="489"/>
      <c r="H443" s="806">
        <v>14288.23</v>
      </c>
      <c r="I443" s="616"/>
    </row>
    <row r="444" spans="1:9" ht="15">
      <c r="A444" s="616">
        <v>17</v>
      </c>
      <c r="B444" s="231"/>
      <c r="C444" s="621"/>
      <c r="D444" s="623" t="s">
        <v>411</v>
      </c>
      <c r="E444" s="548"/>
      <c r="F444" s="623"/>
      <c r="G444" s="623"/>
      <c r="H444" s="764">
        <f>H443+F444-G444</f>
        <v>14288.23</v>
      </c>
      <c r="I444" s="616"/>
    </row>
    <row r="445" spans="1:9" ht="15">
      <c r="A445" s="616">
        <v>18</v>
      </c>
      <c r="B445" s="231">
        <v>44334</v>
      </c>
      <c r="C445" s="621"/>
      <c r="D445" s="631" t="s">
        <v>412</v>
      </c>
      <c r="E445" s="650"/>
      <c r="F445" s="633">
        <v>19954.330000000002</v>
      </c>
      <c r="G445" s="623"/>
      <c r="H445" s="764">
        <f>H444+F445-G445</f>
        <v>34242.559999999998</v>
      </c>
      <c r="I445" s="616"/>
    </row>
    <row r="446" spans="1:9" ht="15">
      <c r="A446" s="616">
        <v>19</v>
      </c>
      <c r="B446" s="452">
        <v>44320</v>
      </c>
      <c r="C446" s="626"/>
      <c r="D446" s="629" t="s">
        <v>467</v>
      </c>
      <c r="E446" s="635"/>
      <c r="F446" s="627"/>
      <c r="G446" s="636">
        <v>652.55999999999995</v>
      </c>
      <c r="H446" s="765">
        <f>H445+F446-G446</f>
        <v>33590</v>
      </c>
      <c r="I446" s="616"/>
    </row>
    <row r="447" spans="1:9" ht="15">
      <c r="A447" s="616">
        <v>20</v>
      </c>
      <c r="B447" s="452">
        <v>44320</v>
      </c>
      <c r="C447" s="638"/>
      <c r="D447" s="639" t="s">
        <v>468</v>
      </c>
      <c r="E447" s="640"/>
      <c r="F447" s="629"/>
      <c r="G447" s="641">
        <v>415.06</v>
      </c>
      <c r="H447" s="766">
        <f>H446+F447-G447</f>
        <v>33174.94</v>
      </c>
      <c r="I447" s="616"/>
    </row>
    <row r="448" spans="1:9" ht="15">
      <c r="A448" s="616">
        <v>21</v>
      </c>
      <c r="B448" s="452">
        <v>44320</v>
      </c>
      <c r="C448" s="621"/>
      <c r="D448" s="623" t="s">
        <v>469</v>
      </c>
      <c r="E448" s="548"/>
      <c r="F448" s="623"/>
      <c r="G448" s="624">
        <v>522.51</v>
      </c>
      <c r="H448" s="764">
        <f>H447+F448-G448</f>
        <v>32652.430000000004</v>
      </c>
      <c r="I448" s="616"/>
    </row>
    <row r="449" spans="1:13" ht="15">
      <c r="A449" s="616">
        <v>22</v>
      </c>
      <c r="B449" s="233">
        <v>44323</v>
      </c>
      <c r="C449" s="637"/>
      <c r="D449" s="639" t="s">
        <v>470</v>
      </c>
      <c r="E449" s="642"/>
      <c r="F449" s="639"/>
      <c r="G449" s="643">
        <v>1640.8</v>
      </c>
      <c r="H449" s="766">
        <f>H448+F449-G449</f>
        <v>31011.630000000005</v>
      </c>
      <c r="I449" s="616"/>
    </row>
    <row r="450" spans="1:13" ht="15">
      <c r="A450" s="616">
        <v>23</v>
      </c>
      <c r="B450" s="231">
        <v>44318</v>
      </c>
      <c r="C450" s="621"/>
      <c r="D450" s="622" t="s">
        <v>347</v>
      </c>
      <c r="E450" s="548"/>
      <c r="F450" s="624"/>
      <c r="G450" s="624">
        <v>5000</v>
      </c>
      <c r="H450" s="764">
        <f>H449+F450-G450</f>
        <v>26011.630000000005</v>
      </c>
      <c r="I450" s="616"/>
      <c r="J450">
        <f>SUM(G446:G448)</f>
        <v>1590.1299999999999</v>
      </c>
    </row>
    <row r="451" spans="1:13" ht="15">
      <c r="A451" s="616">
        <v>24</v>
      </c>
      <c r="B451" s="231">
        <v>44322</v>
      </c>
      <c r="C451" s="624">
        <v>200000</v>
      </c>
      <c r="D451" s="622" t="s">
        <v>471</v>
      </c>
      <c r="E451" s="548">
        <v>40</v>
      </c>
      <c r="F451" s="624">
        <f>C451/E451</f>
        <v>5000</v>
      </c>
      <c r="G451" s="624">
        <v>5000</v>
      </c>
      <c r="H451" s="764">
        <f>H450+F451-G451</f>
        <v>26011.630000000005</v>
      </c>
      <c r="I451" s="616"/>
    </row>
    <row r="452" spans="1:13" ht="19.5">
      <c r="A452" s="616"/>
      <c r="B452" s="617"/>
      <c r="C452" s="617"/>
      <c r="D452" s="618" t="s">
        <v>59</v>
      </c>
      <c r="E452" s="619"/>
      <c r="F452" s="644">
        <f>SUM(F444:F451)</f>
        <v>24954.33</v>
      </c>
      <c r="G452" s="644">
        <f>SUM(G444:G451)</f>
        <v>13230.93</v>
      </c>
      <c r="H452" s="806">
        <f>H443+F452-G452</f>
        <v>26011.629999999997</v>
      </c>
      <c r="I452" s="616"/>
    </row>
    <row r="453" spans="1:13" ht="15">
      <c r="A453" s="836" t="s">
        <v>448</v>
      </c>
      <c r="B453" s="937" t="s">
        <v>83</v>
      </c>
      <c r="C453" s="938"/>
      <c r="D453" s="938"/>
      <c r="E453" s="938"/>
      <c r="F453" s="938"/>
      <c r="G453" s="938"/>
      <c r="H453" s="938"/>
      <c r="I453" s="836"/>
    </row>
    <row r="454" spans="1:13" ht="19.5">
      <c r="A454" s="616"/>
      <c r="B454" s="617"/>
      <c r="C454" s="617"/>
      <c r="D454" s="618" t="s">
        <v>24</v>
      </c>
      <c r="E454" s="619"/>
      <c r="F454" s="489"/>
      <c r="G454" s="489"/>
      <c r="H454" s="806">
        <v>26011.63</v>
      </c>
      <c r="I454" s="616"/>
    </row>
    <row r="455" spans="1:13" ht="15">
      <c r="A455" s="616">
        <v>25</v>
      </c>
      <c r="B455" s="231"/>
      <c r="C455" s="621"/>
      <c r="D455" s="623" t="s">
        <v>411</v>
      </c>
      <c r="E455" s="548"/>
      <c r="F455" s="623"/>
      <c r="G455" s="623"/>
      <c r="H455" s="764">
        <f>H454+F455-G455</f>
        <v>26011.63</v>
      </c>
      <c r="I455" s="616"/>
    </row>
    <row r="456" spans="1:13" ht="15">
      <c r="A456" s="616">
        <v>26</v>
      </c>
      <c r="B456" s="231">
        <v>44334</v>
      </c>
      <c r="C456" s="621"/>
      <c r="D456" s="631" t="s">
        <v>412</v>
      </c>
      <c r="E456" s="650"/>
      <c r="F456" s="633"/>
      <c r="G456" s="623"/>
      <c r="H456" s="764">
        <f>H455+F456-G456</f>
        <v>26011.63</v>
      </c>
      <c r="I456" s="616"/>
    </row>
    <row r="457" spans="1:13" ht="15">
      <c r="A457" s="616">
        <v>27</v>
      </c>
      <c r="B457" s="452">
        <v>44354</v>
      </c>
      <c r="C457" s="626"/>
      <c r="D457" s="629" t="s">
        <v>472</v>
      </c>
      <c r="E457" s="635"/>
      <c r="F457" s="627"/>
      <c r="G457" s="636">
        <v>652.55999999999995</v>
      </c>
      <c r="H457" s="765">
        <f>H456+F457-G457</f>
        <v>25359.07</v>
      </c>
      <c r="I457" s="616"/>
    </row>
    <row r="458" spans="1:13" ht="15">
      <c r="A458" s="616">
        <v>28</v>
      </c>
      <c r="B458" s="452">
        <v>44354</v>
      </c>
      <c r="C458" s="638"/>
      <c r="D458" s="639" t="s">
        <v>473</v>
      </c>
      <c r="E458" s="640"/>
      <c r="F458" s="629"/>
      <c r="G458" s="641">
        <v>435.09</v>
      </c>
      <c r="H458" s="766">
        <f>H457+F458-G458</f>
        <v>24923.98</v>
      </c>
      <c r="I458" s="616"/>
    </row>
    <row r="459" spans="1:13" ht="15">
      <c r="A459" s="616">
        <v>29</v>
      </c>
      <c r="B459" s="452">
        <v>44354</v>
      </c>
      <c r="C459" s="621"/>
      <c r="D459" s="623" t="s">
        <v>474</v>
      </c>
      <c r="E459" s="548"/>
      <c r="F459" s="623"/>
      <c r="G459" s="624">
        <v>520.97</v>
      </c>
      <c r="H459" s="764">
        <f>H458+F459-G459</f>
        <v>24403.01</v>
      </c>
      <c r="I459" s="616"/>
    </row>
    <row r="460" spans="1:13" ht="15">
      <c r="A460" s="616">
        <v>30</v>
      </c>
      <c r="B460" s="233">
        <v>44358</v>
      </c>
      <c r="C460" s="637"/>
      <c r="D460" s="639" t="s">
        <v>475</v>
      </c>
      <c r="E460" s="642"/>
      <c r="F460" s="639"/>
      <c r="G460" s="643">
        <v>2141.2600000000002</v>
      </c>
      <c r="H460" s="766">
        <f>H459+F460-G460</f>
        <v>22261.75</v>
      </c>
      <c r="I460" s="616"/>
      <c r="M460">
        <f>SUM(G457:G459)</f>
        <v>1608.62</v>
      </c>
    </row>
    <row r="461" spans="1:13" ht="15">
      <c r="A461" s="616">
        <v>31</v>
      </c>
      <c r="B461" s="231">
        <v>44318</v>
      </c>
      <c r="C461" s="621"/>
      <c r="D461" s="622" t="s">
        <v>347</v>
      </c>
      <c r="E461" s="548"/>
      <c r="F461" s="624"/>
      <c r="G461" s="624"/>
      <c r="H461" s="764">
        <f>H460+F461-G461</f>
        <v>22261.75</v>
      </c>
      <c r="I461" s="616"/>
      <c r="J461">
        <f>SUM(G457:G459)</f>
        <v>1608.62</v>
      </c>
      <c r="M461">
        <v>-63.49</v>
      </c>
    </row>
    <row r="462" spans="1:13" ht="15">
      <c r="A462" s="616">
        <v>32</v>
      </c>
      <c r="B462" s="231">
        <v>44322</v>
      </c>
      <c r="C462" s="624">
        <v>500000</v>
      </c>
      <c r="D462" s="622" t="s">
        <v>471</v>
      </c>
      <c r="E462" s="548">
        <v>40</v>
      </c>
      <c r="F462" s="624">
        <f>C462/E462</f>
        <v>12500</v>
      </c>
      <c r="G462" s="624"/>
      <c r="H462" s="764">
        <f>H461+F462-G462</f>
        <v>34761.75</v>
      </c>
      <c r="I462" s="616"/>
    </row>
    <row r="463" spans="1:13" ht="19.5">
      <c r="A463" s="616"/>
      <c r="B463" s="617"/>
      <c r="C463" s="617"/>
      <c r="D463" s="618" t="s">
        <v>59</v>
      </c>
      <c r="E463" s="619"/>
      <c r="F463" s="644">
        <f>SUM(F455:F462)</f>
        <v>12500</v>
      </c>
      <c r="G463" s="644">
        <f>SUM(G455:G462)</f>
        <v>3749.88</v>
      </c>
      <c r="H463" s="806">
        <f>H454+F463-G463</f>
        <v>34761.750000000007</v>
      </c>
      <c r="I463" s="616"/>
      <c r="M463">
        <f>SUM(M460:M461)</f>
        <v>1545.1299999999999</v>
      </c>
    </row>
    <row r="464" spans="1:13" ht="15.75">
      <c r="A464" s="835"/>
      <c r="B464" s="964" t="s">
        <v>379</v>
      </c>
      <c r="C464" s="964"/>
      <c r="D464" s="964"/>
      <c r="E464" s="964"/>
      <c r="F464" s="964"/>
      <c r="G464" s="964"/>
      <c r="H464" s="964"/>
      <c r="I464" s="835"/>
    </row>
    <row r="465" spans="1:9">
      <c r="A465" s="446">
        <v>1</v>
      </c>
      <c r="B465" s="436">
        <v>43999</v>
      </c>
      <c r="C465" s="436"/>
      <c r="D465" s="439" t="s">
        <v>299</v>
      </c>
      <c r="E465" s="475"/>
      <c r="F465" s="438"/>
      <c r="G465" s="438">
        <v>1000000</v>
      </c>
      <c r="H465" s="438"/>
      <c r="I465" s="6"/>
    </row>
    <row r="466" spans="1:9">
      <c r="A466" s="446">
        <v>2</v>
      </c>
      <c r="B466" s="436">
        <v>44122</v>
      </c>
      <c r="C466" s="436"/>
      <c r="D466" s="439" t="s">
        <v>299</v>
      </c>
      <c r="E466" s="475"/>
      <c r="F466" s="438"/>
      <c r="G466" s="438">
        <v>3000000</v>
      </c>
      <c r="H466" s="438"/>
      <c r="I466" s="6"/>
    </row>
    <row r="467" spans="1:9">
      <c r="A467" s="835">
        <v>3</v>
      </c>
      <c r="B467" s="231"/>
      <c r="C467" s="231"/>
      <c r="D467" s="815" t="s">
        <v>476</v>
      </c>
      <c r="E467" s="816"/>
      <c r="F467" s="220"/>
      <c r="G467" s="220"/>
      <c r="H467" s="220"/>
      <c r="I467" s="835"/>
    </row>
    <row r="468" spans="1:9" ht="19.5">
      <c r="A468" s="835"/>
      <c r="B468" s="941" t="s">
        <v>477</v>
      </c>
      <c r="C468" s="941"/>
      <c r="D468" s="941"/>
      <c r="E468" s="941"/>
      <c r="F468" s="941"/>
      <c r="G468" s="941"/>
      <c r="H468" s="941"/>
    </row>
    <row r="469" spans="1:9">
      <c r="A469" s="835"/>
      <c r="B469" s="429"/>
      <c r="C469" s="429"/>
      <c r="D469" s="429"/>
      <c r="E469" s="390"/>
      <c r="F469" s="429"/>
      <c r="G469" s="429"/>
      <c r="H469" s="429"/>
    </row>
    <row r="470" spans="1:9">
      <c r="A470" s="835"/>
      <c r="B470" s="942" t="s">
        <v>274</v>
      </c>
      <c r="C470" s="942"/>
      <c r="D470" s="942"/>
      <c r="E470" s="942"/>
      <c r="F470" s="942"/>
      <c r="G470" s="942"/>
      <c r="H470" s="942"/>
    </row>
    <row r="471" spans="1:9">
      <c r="A471" s="835"/>
      <c r="B471" s="429"/>
      <c r="C471" s="429"/>
      <c r="D471" s="429"/>
      <c r="E471" s="390"/>
      <c r="F471" s="429"/>
      <c r="G471" s="429"/>
      <c r="H471" s="429"/>
    </row>
    <row r="472" spans="1:9">
      <c r="A472" s="835">
        <v>1</v>
      </c>
      <c r="B472" s="231">
        <v>43945</v>
      </c>
      <c r="C472" s="231"/>
      <c r="D472" s="219" t="s">
        <v>478</v>
      </c>
      <c r="E472" s="816"/>
      <c r="F472" s="219"/>
      <c r="G472" s="219"/>
      <c r="H472" s="219"/>
    </row>
    <row r="473" spans="1:9">
      <c r="A473" s="835"/>
      <c r="B473" s="71"/>
      <c r="C473" s="71"/>
    </row>
    <row r="474" spans="1:9" ht="15.75">
      <c r="A474" s="835"/>
      <c r="B474" s="935" t="s">
        <v>479</v>
      </c>
      <c r="C474" s="935"/>
      <c r="D474" s="935"/>
      <c r="E474" s="935"/>
      <c r="F474" s="935"/>
      <c r="G474" s="935"/>
      <c r="H474" s="935"/>
    </row>
    <row r="475" spans="1:9">
      <c r="A475" s="835"/>
      <c r="E475"/>
    </row>
    <row r="476" spans="1:9">
      <c r="A476" s="835"/>
      <c r="B476" s="51" t="s">
        <v>480</v>
      </c>
      <c r="C476" s="51" t="s">
        <v>481</v>
      </c>
      <c r="D476" s="51" t="s">
        <v>482</v>
      </c>
      <c r="E476" s="51" t="s">
        <v>483</v>
      </c>
      <c r="F476" s="51" t="s">
        <v>484</v>
      </c>
      <c r="G476" s="51" t="s">
        <v>485</v>
      </c>
      <c r="H476" s="51" t="s">
        <v>486</v>
      </c>
    </row>
    <row r="477" spans="1:9" ht="15">
      <c r="A477" s="835">
        <v>1</v>
      </c>
      <c r="B477" s="231">
        <v>44041</v>
      </c>
      <c r="C477" s="219"/>
      <c r="D477" s="585" t="s">
        <v>487</v>
      </c>
      <c r="E477" s="219"/>
      <c r="F477" s="219"/>
      <c r="G477" s="219"/>
      <c r="H477" s="219"/>
    </row>
    <row r="478" spans="1:9" ht="15">
      <c r="A478" s="835">
        <v>2</v>
      </c>
      <c r="B478" s="231"/>
      <c r="C478" s="219"/>
      <c r="D478" s="585" t="s">
        <v>488</v>
      </c>
      <c r="E478" s="219"/>
      <c r="F478" s="219"/>
      <c r="G478" s="219"/>
      <c r="H478" s="219"/>
    </row>
    <row r="479" spans="1:9" ht="15">
      <c r="A479" s="835">
        <v>3</v>
      </c>
      <c r="B479" s="231"/>
      <c r="C479" s="219"/>
      <c r="D479" s="585" t="s">
        <v>489</v>
      </c>
      <c r="E479" s="219"/>
      <c r="F479" s="219"/>
      <c r="G479" s="219"/>
      <c r="H479" s="219"/>
    </row>
    <row r="480" spans="1:9" ht="15">
      <c r="A480" s="835">
        <v>4</v>
      </c>
      <c r="B480" s="231"/>
      <c r="C480" s="219"/>
      <c r="D480" s="585" t="s">
        <v>490</v>
      </c>
      <c r="E480" s="219"/>
      <c r="F480" s="219"/>
      <c r="G480" s="219"/>
      <c r="H480" s="219"/>
    </row>
    <row r="481" spans="1:8" ht="15">
      <c r="A481" s="835"/>
      <c r="B481" s="71"/>
      <c r="D481" s="586"/>
      <c r="E481"/>
    </row>
    <row r="482" spans="1:8" ht="15.75">
      <c r="A482" s="835"/>
      <c r="B482" s="936" t="s">
        <v>379</v>
      </c>
      <c r="C482" s="936"/>
      <c r="D482" s="936"/>
      <c r="E482" s="936"/>
      <c r="F482" s="936"/>
      <c r="G482" s="936"/>
      <c r="H482" s="936"/>
    </row>
    <row r="483" spans="1:8" ht="15.75">
      <c r="A483" s="835"/>
      <c r="B483" s="840"/>
      <c r="C483" s="840"/>
      <c r="D483" s="840"/>
      <c r="E483" s="840"/>
      <c r="F483" s="840"/>
      <c r="G483" s="840"/>
      <c r="H483" s="840"/>
    </row>
    <row r="484" spans="1:8">
      <c r="A484" s="835">
        <v>1</v>
      </c>
      <c r="B484" s="219"/>
      <c r="C484" s="219"/>
      <c r="D484" s="219"/>
      <c r="E484" s="219"/>
      <c r="F484" s="219"/>
      <c r="G484" s="219"/>
      <c r="H484" s="219"/>
    </row>
    <row r="485" spans="1:8">
      <c r="A485" s="835">
        <v>2</v>
      </c>
      <c r="B485" s="219"/>
      <c r="C485" s="219"/>
      <c r="D485" s="219"/>
      <c r="E485" s="219"/>
      <c r="F485" s="219"/>
      <c r="G485" s="219"/>
      <c r="H485" s="219"/>
    </row>
    <row r="486" spans="1:8">
      <c r="A486" s="835">
        <v>3</v>
      </c>
      <c r="B486" s="219"/>
      <c r="C486" s="219"/>
      <c r="D486" s="219"/>
      <c r="E486" s="219"/>
      <c r="F486" s="219"/>
      <c r="G486" s="219"/>
      <c r="H486" s="219"/>
    </row>
    <row r="487" spans="1:8">
      <c r="A487" s="835">
        <v>4</v>
      </c>
      <c r="B487" s="219"/>
      <c r="C487" s="219"/>
      <c r="D487" s="219"/>
      <c r="E487" s="219"/>
      <c r="F487" s="219"/>
      <c r="G487" s="219"/>
      <c r="H487" s="219"/>
    </row>
    <row r="488" spans="1:8">
      <c r="A488" s="835"/>
      <c r="E488"/>
    </row>
    <row r="489" spans="1:8" ht="15.75">
      <c r="A489" s="835"/>
      <c r="B489" s="936" t="s">
        <v>386</v>
      </c>
      <c r="C489" s="936"/>
      <c r="D489" s="936"/>
      <c r="E489" s="936"/>
      <c r="F489" s="936"/>
      <c r="G489" s="936"/>
      <c r="H489" s="936"/>
    </row>
    <row r="490" spans="1:8" ht="15.75">
      <c r="A490" s="835"/>
      <c r="B490" s="840"/>
      <c r="C490" s="840"/>
      <c r="D490" s="840"/>
      <c r="E490" s="840"/>
      <c r="F490" s="840"/>
      <c r="G490" s="840"/>
      <c r="H490" s="840"/>
    </row>
    <row r="491" spans="1:8">
      <c r="A491" s="835">
        <v>1</v>
      </c>
      <c r="B491" s="231">
        <v>44041</v>
      </c>
      <c r="C491" s="220">
        <v>2000000</v>
      </c>
      <c r="D491" s="219" t="s">
        <v>491</v>
      </c>
      <c r="E491" s="816">
        <v>1</v>
      </c>
      <c r="F491" s="219"/>
      <c r="G491" s="220">
        <f>C491*E491</f>
        <v>2000000</v>
      </c>
      <c r="H491" s="220"/>
    </row>
    <row r="492" spans="1:8">
      <c r="A492" s="835">
        <v>2</v>
      </c>
      <c r="B492" s="231"/>
      <c r="C492" s="231"/>
      <c r="D492" s="219" t="s">
        <v>492</v>
      </c>
      <c r="E492" s="816"/>
      <c r="F492" s="219"/>
      <c r="G492" s="220"/>
      <c r="H492" s="219"/>
    </row>
    <row r="493" spans="1:8">
      <c r="A493" s="835">
        <v>3</v>
      </c>
      <c r="B493" s="231"/>
      <c r="C493" s="231"/>
      <c r="D493" s="219" t="s">
        <v>493</v>
      </c>
      <c r="E493" s="816"/>
      <c r="F493" s="219"/>
      <c r="G493" s="220"/>
      <c r="H493" s="219"/>
    </row>
    <row r="494" spans="1:8">
      <c r="A494" s="835">
        <v>4</v>
      </c>
      <c r="B494" s="231"/>
      <c r="D494" s="219" t="s">
        <v>494</v>
      </c>
      <c r="E494" s="816"/>
      <c r="F494" s="219"/>
      <c r="G494" s="220"/>
      <c r="H494" s="219"/>
    </row>
    <row r="495" spans="1:8">
      <c r="A495" s="835">
        <v>5</v>
      </c>
      <c r="B495" s="231">
        <v>44041</v>
      </c>
      <c r="C495" s="220">
        <v>1600000</v>
      </c>
      <c r="D495" s="219" t="s">
        <v>495</v>
      </c>
      <c r="E495" s="816">
        <v>1</v>
      </c>
      <c r="F495" s="219"/>
      <c r="G495" s="220">
        <f>C495*E495</f>
        <v>1600000</v>
      </c>
      <c r="H495" s="219"/>
    </row>
    <row r="496" spans="1:8">
      <c r="A496" s="835">
        <v>6</v>
      </c>
      <c r="B496" s="231">
        <v>44041</v>
      </c>
      <c r="C496" s="220">
        <v>450000</v>
      </c>
      <c r="D496" s="219" t="s">
        <v>496</v>
      </c>
      <c r="E496" s="816">
        <v>1</v>
      </c>
      <c r="F496" s="219"/>
      <c r="G496" s="220">
        <f>C496*E496</f>
        <v>450000</v>
      </c>
      <c r="H496" s="219"/>
    </row>
    <row r="497" spans="1:8" ht="13.5">
      <c r="A497" s="835"/>
      <c r="B497" s="71"/>
      <c r="C497" s="6"/>
      <c r="G497" s="6">
        <f>SUM(G491:G496)</f>
        <v>4050000</v>
      </c>
      <c r="H497" s="599">
        <f>F497-G497</f>
        <v>-4050000</v>
      </c>
    </row>
    <row r="498" spans="1:8" ht="15.75">
      <c r="A498" s="835"/>
      <c r="B498" s="936" t="s">
        <v>497</v>
      </c>
      <c r="C498" s="936"/>
      <c r="D498" s="936"/>
      <c r="E498" s="936"/>
      <c r="F498" s="936"/>
      <c r="G498" s="936"/>
      <c r="H498" s="936"/>
    </row>
    <row r="499" spans="1:8" ht="15.75">
      <c r="A499" s="835"/>
      <c r="B499" s="840"/>
      <c r="C499" s="840"/>
      <c r="D499" s="840"/>
      <c r="E499" s="840"/>
      <c r="F499" s="840"/>
      <c r="G499" s="840"/>
      <c r="H499" s="840"/>
    </row>
    <row r="500" spans="1:8">
      <c r="A500" s="835">
        <v>1</v>
      </c>
      <c r="B500" s="231">
        <v>44182</v>
      </c>
      <c r="C500" s="220">
        <v>100000</v>
      </c>
      <c r="D500" s="219" t="s">
        <v>487</v>
      </c>
      <c r="E500" s="816">
        <v>1</v>
      </c>
      <c r="F500" s="219">
        <f>C500*E500</f>
        <v>100000</v>
      </c>
      <c r="G500" s="220"/>
      <c r="H500" s="220"/>
    </row>
    <row r="501" spans="1:8">
      <c r="A501" s="835">
        <v>2</v>
      </c>
      <c r="B501" s="231">
        <v>44213</v>
      </c>
      <c r="C501" s="220">
        <v>400000</v>
      </c>
      <c r="D501" s="219" t="s">
        <v>487</v>
      </c>
      <c r="E501" s="816">
        <v>1</v>
      </c>
      <c r="F501" s="219">
        <f t="shared" ref="F501:F504" si="18">C501*E501</f>
        <v>400000</v>
      </c>
      <c r="G501" s="220"/>
      <c r="H501" s="219"/>
    </row>
    <row r="502" spans="1:8">
      <c r="A502" s="835">
        <v>3</v>
      </c>
      <c r="B502" s="231">
        <v>44244</v>
      </c>
      <c r="C502" s="220">
        <v>400000</v>
      </c>
      <c r="D502" s="219" t="s">
        <v>487</v>
      </c>
      <c r="E502" s="816">
        <v>1</v>
      </c>
      <c r="F502" s="219">
        <f t="shared" si="18"/>
        <v>400000</v>
      </c>
      <c r="G502" s="220"/>
      <c r="H502" s="219"/>
    </row>
    <row r="503" spans="1:8">
      <c r="A503" s="835">
        <v>4</v>
      </c>
      <c r="B503" s="231">
        <v>44272</v>
      </c>
      <c r="C503" s="220">
        <v>400000</v>
      </c>
      <c r="D503" s="219" t="s">
        <v>487</v>
      </c>
      <c r="E503" s="816">
        <v>1</v>
      </c>
      <c r="F503" s="219">
        <f t="shared" si="18"/>
        <v>400000</v>
      </c>
      <c r="G503" s="220"/>
      <c r="H503" s="219"/>
    </row>
    <row r="504" spans="1:8">
      <c r="A504" s="835">
        <v>5</v>
      </c>
      <c r="B504" s="231">
        <v>44303</v>
      </c>
      <c r="C504" s="220">
        <v>400000</v>
      </c>
      <c r="D504" s="219" t="s">
        <v>487</v>
      </c>
      <c r="E504" s="816">
        <v>1</v>
      </c>
      <c r="F504" s="219">
        <f t="shared" si="18"/>
        <v>400000</v>
      </c>
      <c r="G504" s="220"/>
      <c r="H504" s="219"/>
    </row>
    <row r="505" spans="1:8" ht="13.5">
      <c r="A505" s="835"/>
      <c r="F505">
        <f>SUM(F500:F504)</f>
        <v>1700000</v>
      </c>
      <c r="H505" s="599">
        <f>F505-G505</f>
        <v>1700000</v>
      </c>
    </row>
    <row r="506" spans="1:8">
      <c r="A506" s="587"/>
      <c r="B506" s="588"/>
      <c r="C506" s="588"/>
      <c r="D506" s="588"/>
      <c r="E506" s="589"/>
      <c r="F506" s="588"/>
      <c r="G506" s="588"/>
      <c r="H506" s="588"/>
    </row>
  </sheetData>
  <mergeCells count="47">
    <mergeCell ref="B172:H172"/>
    <mergeCell ref="B243:H243"/>
    <mergeCell ref="B235:H235"/>
    <mergeCell ref="B464:H464"/>
    <mergeCell ref="B381:H381"/>
    <mergeCell ref="B404:H404"/>
    <mergeCell ref="B416:H416"/>
    <mergeCell ref="B428:H428"/>
    <mergeCell ref="B258:H258"/>
    <mergeCell ref="B305:H305"/>
    <mergeCell ref="B442:H442"/>
    <mergeCell ref="B296:H296"/>
    <mergeCell ref="B272:H272"/>
    <mergeCell ref="B286:H286"/>
    <mergeCell ref="B200:H200"/>
    <mergeCell ref="B232:H232"/>
    <mergeCell ref="B2:H2"/>
    <mergeCell ref="B260:H260"/>
    <mergeCell ref="B17:H17"/>
    <mergeCell ref="B4:H4"/>
    <mergeCell ref="B32:H32"/>
    <mergeCell ref="B45:H45"/>
    <mergeCell ref="B55:H55"/>
    <mergeCell ref="B71:H71"/>
    <mergeCell ref="B87:H87"/>
    <mergeCell ref="B110:H110"/>
    <mergeCell ref="B122:H122"/>
    <mergeCell ref="B132:H132"/>
    <mergeCell ref="B141:H141"/>
    <mergeCell ref="B161:H161"/>
    <mergeCell ref="B211:H211"/>
    <mergeCell ref="B183:H183"/>
    <mergeCell ref="B482:H482"/>
    <mergeCell ref="B453:H453"/>
    <mergeCell ref="B489:H489"/>
    <mergeCell ref="B498:H498"/>
    <mergeCell ref="B333:H333"/>
    <mergeCell ref="B468:H468"/>
    <mergeCell ref="B470:H470"/>
    <mergeCell ref="B371:H371"/>
    <mergeCell ref="B344:H344"/>
    <mergeCell ref="B357:H357"/>
    <mergeCell ref="B220:H220"/>
    <mergeCell ref="B324:H324"/>
    <mergeCell ref="B314:H314"/>
    <mergeCell ref="B394:H394"/>
    <mergeCell ref="B474:H474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18562-BC29-4558-AC75-F4A0BF9A8184}">
  <dimension ref="A1:G6"/>
  <sheetViews>
    <sheetView workbookViewId="0">
      <selection activeCell="A7" sqref="A7"/>
    </sheetView>
  </sheetViews>
  <sheetFormatPr defaultRowHeight="12.75"/>
  <sheetData>
    <row r="1" spans="1:7" s="51" customFormat="1">
      <c r="A1" s="51">
        <v>2020</v>
      </c>
      <c r="B1" s="51" t="s">
        <v>498</v>
      </c>
      <c r="C1" s="51" t="s">
        <v>499</v>
      </c>
      <c r="D1" s="51" t="s">
        <v>500</v>
      </c>
      <c r="E1" s="51" t="s">
        <v>501</v>
      </c>
      <c r="F1" s="51" t="s">
        <v>502</v>
      </c>
      <c r="G1" s="51" t="s">
        <v>503</v>
      </c>
    </row>
    <row r="2" spans="1:7">
      <c r="A2" t="s">
        <v>504</v>
      </c>
    </row>
    <row r="3" spans="1:7">
      <c r="A3" t="s">
        <v>28</v>
      </c>
    </row>
    <row r="4" spans="1:7">
      <c r="A4" t="s">
        <v>505</v>
      </c>
    </row>
    <row r="5" spans="1:7">
      <c r="A5" t="s">
        <v>506</v>
      </c>
    </row>
    <row r="6" spans="1:7">
      <c r="A6" t="s">
        <v>507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6"/>
  <sheetViews>
    <sheetView topLeftCell="A9" workbookViewId="0">
      <selection activeCell="B36" sqref="B36"/>
    </sheetView>
  </sheetViews>
  <sheetFormatPr defaultColWidth="9.140625" defaultRowHeight="12.75"/>
  <cols>
    <col min="2" max="2" width="48.7109375" bestFit="1" customWidth="1"/>
    <col min="5" max="5" width="15" bestFit="1" customWidth="1"/>
  </cols>
  <sheetData>
    <row r="1" spans="1:14">
      <c r="A1" t="s">
        <v>508</v>
      </c>
      <c r="B1" t="s">
        <v>509</v>
      </c>
      <c r="C1" t="s">
        <v>510</v>
      </c>
      <c r="D1" t="s">
        <v>511</v>
      </c>
      <c r="E1" t="s">
        <v>512</v>
      </c>
    </row>
    <row r="5" spans="1:14">
      <c r="N5" t="s">
        <v>507</v>
      </c>
    </row>
    <row r="6" spans="1:14">
      <c r="N6" t="s">
        <v>513</v>
      </c>
    </row>
    <row r="7" spans="1:14">
      <c r="N7" t="s">
        <v>514</v>
      </c>
    </row>
    <row r="8" spans="1:14">
      <c r="N8" t="s">
        <v>515</v>
      </c>
    </row>
    <row r="18" spans="1:13">
      <c r="J18" s="63" t="s">
        <v>516</v>
      </c>
      <c r="K18" s="63" t="s">
        <v>517</v>
      </c>
      <c r="L18" s="63" t="s">
        <v>518</v>
      </c>
      <c r="M18" s="63" t="s">
        <v>519</v>
      </c>
    </row>
    <row r="19" spans="1:13">
      <c r="J19" s="63">
        <v>100</v>
      </c>
      <c r="K19" s="63">
        <v>20000</v>
      </c>
      <c r="L19" s="63">
        <v>4800</v>
      </c>
      <c r="M19" s="63">
        <v>20</v>
      </c>
    </row>
    <row r="20" spans="1:13">
      <c r="J20" t="s">
        <v>520</v>
      </c>
    </row>
    <row r="21" spans="1:13">
      <c r="J21" t="s">
        <v>521</v>
      </c>
    </row>
    <row r="22" spans="1:13">
      <c r="J22" t="s">
        <v>522</v>
      </c>
    </row>
    <row r="25" spans="1:13">
      <c r="A25" t="s">
        <v>218</v>
      </c>
      <c r="B25" s="70" t="s">
        <v>523</v>
      </c>
    </row>
    <row r="27" spans="1:13">
      <c r="A27" t="s">
        <v>524</v>
      </c>
      <c r="B27" t="s">
        <v>525</v>
      </c>
      <c r="C27" t="s">
        <v>526</v>
      </c>
      <c r="D27" t="s">
        <v>527</v>
      </c>
      <c r="E27" t="s">
        <v>528</v>
      </c>
      <c r="F27" t="s">
        <v>529</v>
      </c>
    </row>
    <row r="28" spans="1:13">
      <c r="A28" t="s">
        <v>530</v>
      </c>
      <c r="B28" t="e" cm="1">
        <f t="array" aca="1" ref="B28" ca="1">GOOGLETRAnSLATE(A28,"es","en")</f>
        <v>#NAME?</v>
      </c>
    </row>
    <row r="29" spans="1:13">
      <c r="B29" t="e" cm="1">
        <f t="array" aca="1" ref="B29" ca="1">goo</f>
        <v>#NAME?</v>
      </c>
    </row>
    <row r="32" spans="1:13">
      <c r="B32" t="s">
        <v>531</v>
      </c>
    </row>
    <row r="34" spans="1:2" ht="25.5">
      <c r="A34" t="s">
        <v>532</v>
      </c>
      <c r="B34" s="805" t="s">
        <v>533</v>
      </c>
    </row>
    <row r="36" spans="1:2">
      <c r="B36" s="805"/>
    </row>
  </sheetData>
  <phoneticPr fontId="18" type="noConversion"/>
  <hyperlinks>
    <hyperlink ref="B25" r:id="rId1" xr:uid="{00000000-0004-0000-0A00-000000000000}"/>
    <hyperlink ref="B34" r:id="rId2" xr:uid="{6AC84818-80DA-4F01-916C-1EADEEE6777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424"/>
  <sheetViews>
    <sheetView workbookViewId="0">
      <pane ySplit="1" topLeftCell="A356" activePane="bottomLeft" state="frozen"/>
      <selection pane="bottomLeft" activeCell="C366" sqref="C366"/>
    </sheetView>
  </sheetViews>
  <sheetFormatPr defaultColWidth="17.28515625" defaultRowHeight="15" customHeight="1"/>
  <cols>
    <col min="1" max="1" width="10.140625" customWidth="1"/>
    <col min="2" max="2" width="10.28515625" customWidth="1"/>
    <col min="3" max="4" width="9.28515625" customWidth="1"/>
    <col min="5" max="6" width="10" customWidth="1"/>
    <col min="7" max="8" width="9.28515625" bestFit="1" customWidth="1"/>
    <col min="9" max="9" width="8.28515625" bestFit="1" customWidth="1"/>
    <col min="10" max="10" width="9.28515625" customWidth="1"/>
    <col min="11" max="11" width="8.28515625" bestFit="1" customWidth="1"/>
    <col min="12" max="12" width="8.7109375" bestFit="1" customWidth="1"/>
    <col min="13" max="13" width="9.28515625" customWidth="1"/>
    <col min="14" max="15" width="8.28515625" customWidth="1"/>
    <col min="16" max="16" width="8.28515625" bestFit="1" customWidth="1"/>
    <col min="17" max="17" width="8.28515625" customWidth="1"/>
    <col min="18" max="18" width="8.28515625" bestFit="1" customWidth="1"/>
    <col min="19" max="19" width="14.85546875" bestFit="1" customWidth="1"/>
    <col min="20" max="20" width="9.28515625" customWidth="1"/>
    <col min="21" max="21" width="10" customWidth="1"/>
    <col min="22" max="23" width="9.140625" customWidth="1"/>
    <col min="24" max="24" width="3.7109375" customWidth="1"/>
    <col min="25" max="25" width="22.5703125" customWidth="1"/>
    <col min="26" max="26" width="7.7109375" customWidth="1"/>
    <col min="27" max="27" width="9.140625" customWidth="1"/>
    <col min="28" max="28" width="10.140625" customWidth="1"/>
    <col min="29" max="29" width="8.7109375" bestFit="1" customWidth="1"/>
    <col min="30" max="30" width="7.7109375" customWidth="1"/>
    <col min="31" max="31" width="9.140625" customWidth="1"/>
    <col min="32" max="32" width="6.42578125" customWidth="1"/>
    <col min="33" max="33" width="9.140625" customWidth="1"/>
    <col min="34" max="34" width="8.85546875" customWidth="1"/>
    <col min="35" max="35" width="8.7109375" customWidth="1"/>
    <col min="36" max="36" width="7.7109375" customWidth="1"/>
    <col min="37" max="37" width="9.140625" customWidth="1"/>
    <col min="38" max="38" width="6.140625" customWidth="1"/>
    <col min="39" max="39" width="9.140625" customWidth="1"/>
    <col min="40" max="40" width="7.5703125" customWidth="1"/>
    <col min="41" max="41" width="9.140625" customWidth="1"/>
    <col min="42" max="42" width="7.85546875" customWidth="1"/>
    <col min="43" max="43" width="9.140625" customWidth="1"/>
    <col min="44" max="44" width="7.7109375" customWidth="1"/>
    <col min="45" max="45" width="9.140625" customWidth="1"/>
    <col min="46" max="46" width="7" customWidth="1"/>
    <col min="47" max="47" width="9.140625" customWidth="1"/>
    <col min="48" max="48" width="7.28515625" customWidth="1"/>
    <col min="49" max="49" width="9.140625" customWidth="1"/>
    <col min="50" max="50" width="10" customWidth="1"/>
  </cols>
  <sheetData>
    <row r="1" spans="1:50" ht="12.75" customHeight="1">
      <c r="A1" s="26" t="s">
        <v>534</v>
      </c>
      <c r="B1" s="26" t="s">
        <v>535</v>
      </c>
      <c r="C1" s="7" t="s">
        <v>536</v>
      </c>
      <c r="D1" s="9" t="s">
        <v>537</v>
      </c>
      <c r="E1" s="9">
        <v>3.61</v>
      </c>
      <c r="F1" s="740" t="s">
        <v>59</v>
      </c>
      <c r="G1" s="1" t="s">
        <v>75</v>
      </c>
      <c r="H1" s="835" t="s">
        <v>76</v>
      </c>
      <c r="I1" s="835" t="s">
        <v>77</v>
      </c>
      <c r="J1" s="3" t="s">
        <v>81</v>
      </c>
      <c r="K1" s="3" t="s">
        <v>82</v>
      </c>
      <c r="L1" s="3" t="s">
        <v>83</v>
      </c>
      <c r="M1" s="3" t="s">
        <v>84</v>
      </c>
      <c r="N1" s="3" t="s">
        <v>85</v>
      </c>
      <c r="O1" s="3" t="s">
        <v>86</v>
      </c>
      <c r="P1" s="3" t="s">
        <v>87</v>
      </c>
      <c r="Q1" s="3" t="s">
        <v>88</v>
      </c>
      <c r="R1" s="23" t="s">
        <v>74</v>
      </c>
      <c r="S1" s="11"/>
      <c r="T1" s="11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</row>
    <row r="2" spans="1:50" ht="12.75" customHeight="1">
      <c r="A2" s="972" t="s">
        <v>538</v>
      </c>
      <c r="B2" s="7" t="s">
        <v>119</v>
      </c>
      <c r="C2" s="7">
        <v>20000</v>
      </c>
      <c r="D2" s="8">
        <v>7.23</v>
      </c>
      <c r="E2" s="8" t="s">
        <v>539</v>
      </c>
      <c r="F2" s="8">
        <f>C4*C5</f>
        <v>28669.807051359254</v>
      </c>
      <c r="G2" s="6"/>
      <c r="J2" s="2"/>
      <c r="K2" s="2"/>
      <c r="L2" s="2"/>
      <c r="M2" s="2"/>
      <c r="N2" s="2"/>
      <c r="O2" s="2"/>
      <c r="P2" s="2"/>
      <c r="Q2" s="2"/>
      <c r="R2" s="11"/>
      <c r="S2" s="11">
        <f>SUM(C2)</f>
        <v>20000</v>
      </c>
      <c r="T2" s="11">
        <f>F2</f>
        <v>28669.807051359254</v>
      </c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</row>
    <row r="3" spans="1:50" ht="12.75" customHeight="1">
      <c r="A3" s="973"/>
      <c r="B3" s="7" t="s">
        <v>540</v>
      </c>
      <c r="C3" s="14">
        <v>0.06</v>
      </c>
      <c r="D3" s="8"/>
      <c r="E3" s="5" t="s">
        <v>541</v>
      </c>
      <c r="F3" s="8">
        <f>C2*(1+C3)^C4</f>
        <v>40243.929436711034</v>
      </c>
      <c r="G3" s="6"/>
      <c r="J3" s="2"/>
      <c r="K3" s="2"/>
      <c r="L3" s="2"/>
      <c r="M3" s="2"/>
      <c r="N3" s="2"/>
      <c r="O3" s="2"/>
      <c r="P3" s="2"/>
      <c r="Q3" s="2"/>
      <c r="R3" s="11"/>
      <c r="S3" s="11"/>
      <c r="T3" s="11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</row>
    <row r="4" spans="1:50" ht="12.75" customHeight="1">
      <c r="A4" s="973"/>
      <c r="B4" s="7" t="s">
        <v>542</v>
      </c>
      <c r="C4" s="9">
        <v>12</v>
      </c>
      <c r="D4" s="42"/>
      <c r="E4" s="10" t="s">
        <v>543</v>
      </c>
      <c r="F4" s="43" t="e">
        <f>SUM(C7:C18)</f>
        <v>#REF!</v>
      </c>
      <c r="G4" s="6"/>
      <c r="J4" s="2"/>
      <c r="K4" s="2"/>
      <c r="L4" s="2"/>
      <c r="M4" s="2"/>
      <c r="N4" s="2"/>
      <c r="O4" s="2"/>
      <c r="P4" s="2"/>
      <c r="Q4" s="2"/>
      <c r="R4" s="11"/>
      <c r="S4" s="11"/>
      <c r="T4" s="11"/>
      <c r="U4" s="2" t="e">
        <f>F4</f>
        <v>#REF!</v>
      </c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</row>
    <row r="5" spans="1:50" ht="12.75" customHeight="1">
      <c r="A5" s="974"/>
      <c r="B5" s="7" t="s">
        <v>544</v>
      </c>
      <c r="C5" s="7">
        <f>C2*C3+C2*C3/((1+C3)^C4-1)+E1</f>
        <v>2389.150587613271</v>
      </c>
      <c r="D5" s="45"/>
      <c r="E5" s="8" t="s">
        <v>89</v>
      </c>
      <c r="F5" s="45" t="e">
        <f>SUM(G7:R18)</f>
        <v>#REF!</v>
      </c>
      <c r="G5" s="6"/>
      <c r="J5" s="2"/>
      <c r="K5" s="2"/>
      <c r="L5" s="2"/>
      <c r="M5" s="2"/>
      <c r="N5" s="2"/>
      <c r="O5" s="2"/>
      <c r="P5" s="2"/>
      <c r="Q5" s="2"/>
      <c r="R5" s="11"/>
      <c r="S5" s="11"/>
      <c r="T5" s="11"/>
      <c r="V5" s="2" t="e">
        <f>F5</f>
        <v>#REF!</v>
      </c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</row>
    <row r="6" spans="1:50" ht="12.75" customHeight="1">
      <c r="A6" s="26" t="s">
        <v>545</v>
      </c>
      <c r="B6" s="7" t="s">
        <v>546</v>
      </c>
      <c r="C6" s="9" t="s">
        <v>547</v>
      </c>
      <c r="D6" s="44" t="s">
        <v>548</v>
      </c>
      <c r="E6" s="9" t="s">
        <v>251</v>
      </c>
      <c r="F6" s="44" t="s">
        <v>89</v>
      </c>
      <c r="G6" s="6"/>
      <c r="J6" s="2"/>
      <c r="K6" s="2"/>
      <c r="L6" s="2"/>
      <c r="M6" s="2"/>
      <c r="N6" s="2"/>
      <c r="O6" s="2"/>
      <c r="P6" s="2"/>
      <c r="Q6" s="2"/>
      <c r="R6" s="11"/>
      <c r="S6" s="11"/>
      <c r="T6" s="11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</row>
    <row r="7" spans="1:50" ht="12.75" customHeight="1">
      <c r="A7" s="24">
        <v>1</v>
      </c>
      <c r="B7" s="39">
        <v>43322</v>
      </c>
      <c r="C7" s="7" t="e">
        <f>C2*#REF!</f>
        <v>#REF!</v>
      </c>
      <c r="D7" s="7" t="e">
        <f>C5-#REF!</f>
        <v>#REF!</v>
      </c>
      <c r="E7" s="7">
        <v>2400</v>
      </c>
      <c r="F7" s="7" t="e">
        <f>C2-D7</f>
        <v>#REF!</v>
      </c>
      <c r="G7" s="6"/>
      <c r="J7" s="2"/>
      <c r="K7" s="2"/>
      <c r="L7" s="2"/>
      <c r="M7" s="2"/>
      <c r="N7" s="2">
        <f>E7</f>
        <v>2400</v>
      </c>
      <c r="P7" s="2"/>
      <c r="Q7" s="2"/>
      <c r="R7" s="11"/>
      <c r="S7" s="11"/>
      <c r="T7" s="11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</row>
    <row r="8" spans="1:50" ht="12.75" customHeight="1">
      <c r="A8" s="24">
        <v>2</v>
      </c>
      <c r="B8" s="39">
        <v>43353</v>
      </c>
      <c r="C8" s="7" t="e">
        <f>F7*#REF!</f>
        <v>#REF!</v>
      </c>
      <c r="D8" s="7" t="e">
        <f t="shared" ref="D8:D18" si="0">E7-C8</f>
        <v>#REF!</v>
      </c>
      <c r="E8" s="7" t="e">
        <f t="shared" ref="E8:E18" si="1">C8+D8</f>
        <v>#REF!</v>
      </c>
      <c r="F8" s="7" t="e">
        <f t="shared" ref="F8:F17" si="2">F7-D8</f>
        <v>#REF!</v>
      </c>
      <c r="G8" s="6"/>
      <c r="J8" s="2"/>
      <c r="K8" s="2"/>
      <c r="L8" s="2"/>
      <c r="M8" s="2"/>
      <c r="N8" s="2"/>
      <c r="O8" s="2" t="e">
        <f>E8</f>
        <v>#REF!</v>
      </c>
      <c r="Q8" s="2"/>
      <c r="R8" s="11"/>
      <c r="S8" s="11"/>
      <c r="T8" s="11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</row>
    <row r="9" spans="1:50" ht="12.75" customHeight="1">
      <c r="A9" s="24">
        <v>3</v>
      </c>
      <c r="B9" s="39">
        <v>43383</v>
      </c>
      <c r="C9" s="7" t="e">
        <f>F8*#REF!</f>
        <v>#REF!</v>
      </c>
      <c r="D9" s="7" t="e">
        <f t="shared" si="0"/>
        <v>#REF!</v>
      </c>
      <c r="E9" s="7" t="e">
        <f t="shared" si="1"/>
        <v>#REF!</v>
      </c>
      <c r="F9" s="7" t="e">
        <f t="shared" si="2"/>
        <v>#REF!</v>
      </c>
      <c r="G9" s="6"/>
      <c r="J9" s="2"/>
      <c r="K9" s="2"/>
      <c r="L9" s="2"/>
      <c r="M9" s="2"/>
      <c r="N9" s="2"/>
      <c r="O9" s="2"/>
      <c r="P9" s="2" t="e">
        <f>E9</f>
        <v>#REF!</v>
      </c>
      <c r="R9" s="2"/>
      <c r="S9" s="11"/>
      <c r="T9" s="11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</row>
    <row r="10" spans="1:50" ht="12.75" customHeight="1">
      <c r="A10" s="24">
        <v>4</v>
      </c>
      <c r="B10" s="39">
        <v>43414</v>
      </c>
      <c r="C10" s="7" t="e">
        <f>F9*#REF!</f>
        <v>#REF!</v>
      </c>
      <c r="D10" s="7" t="e">
        <f t="shared" si="0"/>
        <v>#REF!</v>
      </c>
      <c r="E10" s="7" t="e">
        <f t="shared" si="1"/>
        <v>#REF!</v>
      </c>
      <c r="F10" s="7" t="e">
        <f t="shared" si="2"/>
        <v>#REF!</v>
      </c>
      <c r="G10" s="11"/>
      <c r="J10" s="2"/>
      <c r="K10" s="2"/>
      <c r="L10" s="2"/>
      <c r="M10" s="2"/>
      <c r="N10" s="2"/>
      <c r="O10" s="2"/>
      <c r="P10" s="2"/>
      <c r="Q10" s="2" t="e">
        <f>E10</f>
        <v>#REF!</v>
      </c>
      <c r="S10" s="11"/>
      <c r="T10" s="11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</row>
    <row r="11" spans="1:50" ht="12.75" customHeight="1">
      <c r="A11" s="24">
        <v>5</v>
      </c>
      <c r="B11" s="39">
        <v>43444</v>
      </c>
      <c r="C11" s="7" t="e">
        <f>F10*#REF!</f>
        <v>#REF!</v>
      </c>
      <c r="D11" s="7" t="e">
        <f t="shared" si="0"/>
        <v>#REF!</v>
      </c>
      <c r="E11" s="7" t="e">
        <f t="shared" si="1"/>
        <v>#REF!</v>
      </c>
      <c r="F11" s="7" t="e">
        <f t="shared" si="2"/>
        <v>#REF!</v>
      </c>
      <c r="H11" s="6"/>
      <c r="J11" s="2"/>
      <c r="K11" s="2"/>
      <c r="L11" s="2"/>
      <c r="M11" s="2"/>
      <c r="N11" s="2"/>
      <c r="O11" s="2"/>
      <c r="P11" s="2"/>
      <c r="Q11" s="2"/>
      <c r="R11" s="11" t="e">
        <f>E11</f>
        <v>#REF!</v>
      </c>
      <c r="S11" s="11"/>
      <c r="T11" s="11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</row>
    <row r="12" spans="1:50" ht="12.75" customHeight="1">
      <c r="A12" s="24">
        <v>6</v>
      </c>
      <c r="B12" s="39">
        <v>43475</v>
      </c>
      <c r="C12" s="7" t="e">
        <f>F11*#REF!</f>
        <v>#REF!</v>
      </c>
      <c r="D12" s="7" t="e">
        <f t="shared" si="0"/>
        <v>#REF!</v>
      </c>
      <c r="E12" s="7" t="e">
        <f t="shared" si="1"/>
        <v>#REF!</v>
      </c>
      <c r="F12" s="7" t="e">
        <f t="shared" si="2"/>
        <v>#REF!</v>
      </c>
      <c r="G12" s="6" t="e">
        <f>E12</f>
        <v>#REF!</v>
      </c>
      <c r="J12" s="2"/>
      <c r="K12" s="2"/>
      <c r="L12" s="2"/>
      <c r="M12" s="2"/>
      <c r="N12" s="2"/>
      <c r="O12" s="2"/>
      <c r="P12" s="2"/>
      <c r="Q12" s="2"/>
      <c r="R12" s="11"/>
      <c r="S12" s="11"/>
      <c r="T12" s="11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</row>
    <row r="13" spans="1:50" ht="12.75" customHeight="1">
      <c r="A13" s="24">
        <v>7</v>
      </c>
      <c r="B13" s="39">
        <v>43506</v>
      </c>
      <c r="C13" s="7" t="e">
        <f>F12*#REF!</f>
        <v>#REF!</v>
      </c>
      <c r="D13" s="7" t="e">
        <f t="shared" si="0"/>
        <v>#REF!</v>
      </c>
      <c r="E13" s="7" t="e">
        <f t="shared" si="1"/>
        <v>#REF!</v>
      </c>
      <c r="F13" s="7" t="e">
        <f t="shared" si="2"/>
        <v>#REF!</v>
      </c>
      <c r="G13" s="6"/>
      <c r="H13" s="2" t="e">
        <f>E13</f>
        <v>#REF!</v>
      </c>
      <c r="K13" s="2"/>
      <c r="L13" s="2"/>
      <c r="M13" s="2"/>
      <c r="N13" s="2"/>
      <c r="O13" s="2"/>
      <c r="P13" s="2"/>
      <c r="Q13" s="2"/>
      <c r="R13" s="11"/>
      <c r="S13" s="11"/>
      <c r="T13" s="11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</row>
    <row r="14" spans="1:50" ht="12.75" customHeight="1">
      <c r="A14" s="24">
        <v>8</v>
      </c>
      <c r="B14" s="39">
        <v>43534</v>
      </c>
      <c r="C14" s="7" t="e">
        <f>F13*#REF!</f>
        <v>#REF!</v>
      </c>
      <c r="D14" s="7" t="e">
        <f t="shared" si="0"/>
        <v>#REF!</v>
      </c>
      <c r="E14" s="7" t="e">
        <f t="shared" si="1"/>
        <v>#REF!</v>
      </c>
      <c r="F14" s="7" t="e">
        <f t="shared" si="2"/>
        <v>#REF!</v>
      </c>
      <c r="G14" s="6"/>
      <c r="H14" s="2"/>
      <c r="I14" s="2" t="e">
        <f>E14</f>
        <v>#REF!</v>
      </c>
      <c r="K14" s="2"/>
      <c r="L14" s="2"/>
      <c r="M14" s="2"/>
      <c r="N14" s="2"/>
      <c r="O14" s="2"/>
      <c r="P14" s="2"/>
      <c r="Q14" s="2"/>
      <c r="R14" s="11"/>
      <c r="S14" s="11"/>
      <c r="T14" s="11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</row>
    <row r="15" spans="1:50" ht="12.75" customHeight="1">
      <c r="A15" s="24">
        <v>9</v>
      </c>
      <c r="B15" s="39">
        <v>43565</v>
      </c>
      <c r="C15" s="7" t="e">
        <f>F14*#REF!</f>
        <v>#REF!</v>
      </c>
      <c r="D15" s="7" t="e">
        <f t="shared" si="0"/>
        <v>#REF!</v>
      </c>
      <c r="E15" s="7" t="e">
        <f t="shared" si="1"/>
        <v>#REF!</v>
      </c>
      <c r="F15" s="7" t="e">
        <f t="shared" si="2"/>
        <v>#REF!</v>
      </c>
      <c r="G15" s="6"/>
      <c r="I15" s="2"/>
      <c r="J15" s="2" t="e">
        <f>E15</f>
        <v>#REF!</v>
      </c>
      <c r="L15" s="2"/>
      <c r="M15" s="2"/>
      <c r="N15" s="2"/>
      <c r="O15" s="2"/>
      <c r="P15" s="2"/>
      <c r="Q15" s="2"/>
      <c r="R15" s="11"/>
      <c r="S15" s="11"/>
      <c r="T15" s="11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</row>
    <row r="16" spans="1:50" ht="12.75" customHeight="1">
      <c r="A16" s="24">
        <v>10</v>
      </c>
      <c r="B16" s="39">
        <v>43595</v>
      </c>
      <c r="C16" s="7" t="e">
        <f>F15*#REF!</f>
        <v>#REF!</v>
      </c>
      <c r="D16" s="7" t="e">
        <f t="shared" si="0"/>
        <v>#REF!</v>
      </c>
      <c r="E16" s="7" t="e">
        <f t="shared" si="1"/>
        <v>#REF!</v>
      </c>
      <c r="F16" s="7" t="e">
        <f t="shared" si="2"/>
        <v>#REF!</v>
      </c>
      <c r="G16" s="6"/>
      <c r="J16" s="2"/>
      <c r="K16" s="2" t="e">
        <f>E16</f>
        <v>#REF!</v>
      </c>
      <c r="M16" s="2"/>
      <c r="N16" s="2"/>
      <c r="O16" s="2"/>
      <c r="P16" s="2"/>
      <c r="Q16" s="2"/>
      <c r="R16" s="11"/>
      <c r="S16" s="11"/>
      <c r="T16" s="11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</row>
    <row r="17" spans="1:50" ht="12.75" customHeight="1">
      <c r="A17" s="22">
        <v>11</v>
      </c>
      <c r="B17" s="39">
        <v>43626</v>
      </c>
      <c r="C17" s="7" t="e">
        <f>F16*#REF!</f>
        <v>#REF!</v>
      </c>
      <c r="D17" s="7" t="e">
        <f t="shared" si="0"/>
        <v>#REF!</v>
      </c>
      <c r="E17" s="7" t="e">
        <f t="shared" si="1"/>
        <v>#REF!</v>
      </c>
      <c r="F17" s="7" t="e">
        <f t="shared" si="2"/>
        <v>#REF!</v>
      </c>
      <c r="G17" s="21"/>
      <c r="H17" s="40"/>
      <c r="J17" s="2"/>
      <c r="K17" s="2"/>
      <c r="L17" s="2" t="e">
        <f>E17</f>
        <v>#REF!</v>
      </c>
      <c r="N17" s="2"/>
      <c r="O17" s="2"/>
      <c r="P17" s="2"/>
      <c r="Q17" s="2"/>
      <c r="R17" s="11"/>
      <c r="S17" s="11"/>
      <c r="T17" s="11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</row>
    <row r="18" spans="1:50" ht="12.75" customHeight="1">
      <c r="A18" s="22">
        <v>12</v>
      </c>
      <c r="B18" s="39">
        <v>43656</v>
      </c>
      <c r="C18" s="7" t="e">
        <f>F17*#REF!</f>
        <v>#REF!</v>
      </c>
      <c r="D18" s="7" t="e">
        <f t="shared" si="0"/>
        <v>#REF!</v>
      </c>
      <c r="E18" s="7" t="e">
        <f t="shared" si="1"/>
        <v>#REF!</v>
      </c>
      <c r="F18" s="7" t="e">
        <f>F17-D18+108.24+135.7</f>
        <v>#REF!</v>
      </c>
      <c r="G18" s="21"/>
      <c r="H18" s="40"/>
      <c r="J18" s="2"/>
      <c r="K18" s="2"/>
      <c r="L18" s="2"/>
      <c r="M18" s="2" t="e">
        <f>E18</f>
        <v>#REF!</v>
      </c>
      <c r="O18" s="2"/>
      <c r="P18" s="2"/>
      <c r="Q18" s="2"/>
      <c r="R18" s="11"/>
      <c r="S18" s="11"/>
      <c r="T18" s="11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</row>
    <row r="19" spans="1:50" ht="14.25">
      <c r="A19" s="975" t="s">
        <v>549</v>
      </c>
      <c r="B19" s="976"/>
      <c r="C19" s="976"/>
      <c r="D19" s="976"/>
      <c r="E19" s="976"/>
      <c r="F19" s="977"/>
      <c r="G19" s="6"/>
      <c r="J19" s="2"/>
      <c r="K19" s="2"/>
      <c r="L19" s="2"/>
      <c r="M19" s="2"/>
      <c r="N19" s="2"/>
      <c r="O19" s="2"/>
      <c r="P19" s="2"/>
      <c r="Q19" s="2"/>
      <c r="R19" s="11"/>
      <c r="S19" s="11"/>
      <c r="T19" s="11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</row>
    <row r="20" spans="1:50" ht="12.75" customHeight="1">
      <c r="A20" s="26" t="s">
        <v>550</v>
      </c>
      <c r="B20" s="26" t="s">
        <v>535</v>
      </c>
      <c r="C20" s="7" t="s">
        <v>536</v>
      </c>
      <c r="D20" s="9" t="s">
        <v>537</v>
      </c>
      <c r="E20" s="9">
        <v>3.61</v>
      </c>
      <c r="F20" s="15">
        <v>43294</v>
      </c>
      <c r="G20" s="1" t="s">
        <v>75</v>
      </c>
      <c r="H20" s="835" t="s">
        <v>76</v>
      </c>
      <c r="I20" s="835" t="s">
        <v>77</v>
      </c>
      <c r="J20" s="3" t="s">
        <v>81</v>
      </c>
      <c r="K20" s="3" t="s">
        <v>82</v>
      </c>
      <c r="L20" s="3" t="s">
        <v>83</v>
      </c>
      <c r="M20" s="3" t="s">
        <v>84</v>
      </c>
      <c r="N20" s="3" t="s">
        <v>85</v>
      </c>
      <c r="O20" s="3" t="s">
        <v>86</v>
      </c>
      <c r="P20" s="3" t="s">
        <v>87</v>
      </c>
      <c r="Q20" s="3" t="s">
        <v>88</v>
      </c>
      <c r="R20" s="23" t="s">
        <v>74</v>
      </c>
      <c r="S20" s="11"/>
      <c r="T20" s="11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</row>
    <row r="21" spans="1:50" ht="12.75" customHeight="1">
      <c r="A21" s="972" t="s">
        <v>551</v>
      </c>
      <c r="B21" s="7" t="s">
        <v>119</v>
      </c>
      <c r="C21" s="7">
        <v>10000</v>
      </c>
      <c r="D21" s="8">
        <v>7.23</v>
      </c>
      <c r="E21" s="8" t="s">
        <v>539</v>
      </c>
      <c r="F21" s="8">
        <f>C23*C24</f>
        <v>14356.563525679623</v>
      </c>
      <c r="G21" s="6"/>
      <c r="J21" s="2"/>
      <c r="K21" s="2"/>
      <c r="L21" s="2"/>
      <c r="M21" s="2"/>
      <c r="N21" s="2"/>
      <c r="O21" s="2"/>
      <c r="P21" s="2"/>
      <c r="Q21" s="2"/>
      <c r="R21" s="11"/>
      <c r="S21" s="11">
        <f>SUM(C21)</f>
        <v>10000</v>
      </c>
      <c r="T21" s="11">
        <f>F21</f>
        <v>14356.563525679623</v>
      </c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</row>
    <row r="22" spans="1:50" ht="12.75" customHeight="1">
      <c r="A22" s="973"/>
      <c r="B22" s="7" t="s">
        <v>540</v>
      </c>
      <c r="C22" s="14">
        <v>0.06</v>
      </c>
      <c r="D22" s="8"/>
      <c r="E22" s="5" t="s">
        <v>541</v>
      </c>
      <c r="F22" s="8">
        <f>C21*(1+C22)^C23</f>
        <v>20121.964718355517</v>
      </c>
      <c r="G22" s="6"/>
      <c r="J22" s="2"/>
      <c r="K22" s="2"/>
      <c r="L22" s="2"/>
      <c r="M22" s="2"/>
      <c r="N22" s="2"/>
      <c r="O22" s="2"/>
      <c r="P22" s="2"/>
      <c r="Q22" s="2"/>
      <c r="R22" s="11"/>
      <c r="S22" s="11"/>
      <c r="T22" s="11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</row>
    <row r="23" spans="1:50" ht="12.75" customHeight="1">
      <c r="A23" s="973"/>
      <c r="B23" s="7" t="s">
        <v>542</v>
      </c>
      <c r="C23" s="9">
        <v>12</v>
      </c>
      <c r="D23" s="42"/>
      <c r="E23" s="10" t="s">
        <v>543</v>
      </c>
      <c r="F23" s="43" t="e">
        <f>SUM(C26:C37)</f>
        <v>#REF!</v>
      </c>
      <c r="G23" s="6"/>
      <c r="J23" s="2"/>
      <c r="K23" s="2"/>
      <c r="L23" s="2"/>
      <c r="M23" s="2"/>
      <c r="N23" s="2"/>
      <c r="O23" s="2"/>
      <c r="P23" s="2"/>
      <c r="Q23" s="2"/>
      <c r="R23" s="11"/>
      <c r="S23" s="11"/>
      <c r="T23" s="11"/>
      <c r="U23" s="2" t="e">
        <f>F23</f>
        <v>#REF!</v>
      </c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</row>
    <row r="24" spans="1:50" ht="12.75" customHeight="1">
      <c r="A24" s="974"/>
      <c r="B24" s="7" t="s">
        <v>544</v>
      </c>
      <c r="C24" s="7">
        <f>C21*C22+C21*C22/((1+C22)^C23-1)+E20</f>
        <v>1196.3802938066353</v>
      </c>
      <c r="D24" s="45"/>
      <c r="E24" s="8" t="s">
        <v>89</v>
      </c>
      <c r="F24" s="45" t="e">
        <f>SUM(G26:R37)</f>
        <v>#REF!</v>
      </c>
      <c r="G24" s="6"/>
      <c r="J24" s="2"/>
      <c r="K24" s="2"/>
      <c r="L24" s="2"/>
      <c r="M24" s="2"/>
      <c r="N24" s="2"/>
      <c r="O24" s="2"/>
      <c r="P24" s="2"/>
      <c r="Q24" s="2"/>
      <c r="R24" s="11"/>
      <c r="S24" s="11"/>
      <c r="T24" s="11"/>
      <c r="V24" s="2" t="e">
        <f>F24</f>
        <v>#REF!</v>
      </c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</row>
    <row r="25" spans="1:50" ht="12.75" customHeight="1">
      <c r="A25" s="26" t="s">
        <v>545</v>
      </c>
      <c r="B25" s="7" t="s">
        <v>546</v>
      </c>
      <c r="C25" s="9" t="s">
        <v>547</v>
      </c>
      <c r="D25" s="44" t="s">
        <v>548</v>
      </c>
      <c r="E25" s="9" t="s">
        <v>251</v>
      </c>
      <c r="F25" s="44" t="s">
        <v>89</v>
      </c>
      <c r="G25" s="6"/>
      <c r="J25" s="2"/>
      <c r="K25" s="2"/>
      <c r="L25" s="2"/>
      <c r="M25" s="2"/>
      <c r="N25" s="2"/>
      <c r="O25" s="2"/>
      <c r="P25" s="2"/>
      <c r="Q25" s="2"/>
      <c r="R25" s="11"/>
      <c r="S25" s="11"/>
      <c r="T25" s="11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</row>
    <row r="26" spans="1:50" ht="12.75" customHeight="1">
      <c r="A26" s="24">
        <v>1</v>
      </c>
      <c r="B26" s="39">
        <v>43322</v>
      </c>
      <c r="C26" s="7" t="e">
        <f>C21*#REF!</f>
        <v>#REF!</v>
      </c>
      <c r="D26" s="7" t="e">
        <f>C24-#REF!</f>
        <v>#REF!</v>
      </c>
      <c r="E26" s="7">
        <v>2400</v>
      </c>
      <c r="F26" s="7" t="e">
        <f>C21-D26</f>
        <v>#REF!</v>
      </c>
      <c r="G26" s="6"/>
      <c r="J26" s="2"/>
      <c r="K26" s="2"/>
      <c r="L26" s="2"/>
      <c r="M26" s="2"/>
      <c r="N26" s="2">
        <f>E26</f>
        <v>2400</v>
      </c>
      <c r="P26" s="2"/>
      <c r="Q26" s="2"/>
      <c r="R26" s="11"/>
      <c r="S26" s="11"/>
      <c r="T26" s="11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</row>
    <row r="27" spans="1:50" ht="12.75" customHeight="1">
      <c r="A27" s="24">
        <v>2</v>
      </c>
      <c r="B27" s="39">
        <v>43353</v>
      </c>
      <c r="C27" s="7" t="e">
        <f>F26*#REF!</f>
        <v>#REF!</v>
      </c>
      <c r="D27" s="7" t="e">
        <f t="shared" ref="D27:D37" si="3">E26-C27</f>
        <v>#REF!</v>
      </c>
      <c r="E27" s="7" t="e">
        <f t="shared" ref="E27:E37" si="4">C27+D27</f>
        <v>#REF!</v>
      </c>
      <c r="F27" s="7" t="e">
        <f t="shared" ref="F27:F36" si="5">F26-D27</f>
        <v>#REF!</v>
      </c>
      <c r="G27" s="6"/>
      <c r="J27" s="2"/>
      <c r="K27" s="2"/>
      <c r="L27" s="2"/>
      <c r="M27" s="2"/>
      <c r="N27" s="2"/>
      <c r="O27" s="2" t="e">
        <f>E27</f>
        <v>#REF!</v>
      </c>
      <c r="Q27" s="2"/>
      <c r="R27" s="11"/>
      <c r="S27" s="11"/>
      <c r="T27" s="11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</row>
    <row r="28" spans="1:50" ht="12.75" customHeight="1">
      <c r="A28" s="24">
        <v>3</v>
      </c>
      <c r="B28" s="39">
        <v>43383</v>
      </c>
      <c r="C28" s="7" t="e">
        <f>F27*#REF!</f>
        <v>#REF!</v>
      </c>
      <c r="D28" s="7" t="e">
        <f t="shared" si="3"/>
        <v>#REF!</v>
      </c>
      <c r="E28" s="7" t="e">
        <f t="shared" si="4"/>
        <v>#REF!</v>
      </c>
      <c r="F28" s="7" t="e">
        <f t="shared" si="5"/>
        <v>#REF!</v>
      </c>
      <c r="G28" s="6"/>
      <c r="J28" s="2"/>
      <c r="K28" s="2"/>
      <c r="L28" s="2"/>
      <c r="M28" s="2"/>
      <c r="N28" s="2"/>
      <c r="O28" s="2"/>
      <c r="P28" s="2" t="e">
        <f>E28</f>
        <v>#REF!</v>
      </c>
      <c r="R28" s="2"/>
      <c r="S28" s="11"/>
      <c r="T28" s="11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</row>
    <row r="29" spans="1:50" ht="12.75" customHeight="1">
      <c r="A29" s="24">
        <v>4</v>
      </c>
      <c r="B29" s="39">
        <v>43414</v>
      </c>
      <c r="C29" s="7" t="e">
        <f>F28*#REF!</f>
        <v>#REF!</v>
      </c>
      <c r="D29" s="7" t="e">
        <f t="shared" si="3"/>
        <v>#REF!</v>
      </c>
      <c r="E29" s="7" t="e">
        <f t="shared" si="4"/>
        <v>#REF!</v>
      </c>
      <c r="F29" s="7" t="e">
        <f t="shared" si="5"/>
        <v>#REF!</v>
      </c>
      <c r="G29" s="11"/>
      <c r="J29" s="2"/>
      <c r="K29" s="2"/>
      <c r="L29" s="2"/>
      <c r="M29" s="2"/>
      <c r="N29" s="2"/>
      <c r="O29" s="2"/>
      <c r="P29" s="2"/>
      <c r="Q29" s="2" t="e">
        <f>E29</f>
        <v>#REF!</v>
      </c>
      <c r="S29" s="11"/>
      <c r="T29" s="11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</row>
    <row r="30" spans="1:50" ht="12.75" customHeight="1">
      <c r="A30" s="24">
        <v>5</v>
      </c>
      <c r="B30" s="39">
        <v>43444</v>
      </c>
      <c r="C30" s="7" t="e">
        <f>F29*#REF!</f>
        <v>#REF!</v>
      </c>
      <c r="D30" s="7" t="e">
        <f t="shared" si="3"/>
        <v>#REF!</v>
      </c>
      <c r="E30" s="7" t="e">
        <f t="shared" si="4"/>
        <v>#REF!</v>
      </c>
      <c r="F30" s="7" t="e">
        <f t="shared" si="5"/>
        <v>#REF!</v>
      </c>
      <c r="H30" s="6"/>
      <c r="J30" s="2"/>
      <c r="K30" s="2"/>
      <c r="L30" s="2"/>
      <c r="M30" s="2"/>
      <c r="N30" s="2"/>
      <c r="O30" s="2"/>
      <c r="P30" s="2"/>
      <c r="Q30" s="2"/>
      <c r="R30" s="11" t="e">
        <f>E30</f>
        <v>#REF!</v>
      </c>
      <c r="S30" s="11"/>
      <c r="T30" s="11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</row>
    <row r="31" spans="1:50" ht="12.75" customHeight="1">
      <c r="A31" s="24">
        <v>6</v>
      </c>
      <c r="B31" s="39">
        <v>43475</v>
      </c>
      <c r="C31" s="7" t="e">
        <f>F30*#REF!</f>
        <v>#REF!</v>
      </c>
      <c r="D31" s="7" t="e">
        <f t="shared" si="3"/>
        <v>#REF!</v>
      </c>
      <c r="E31" s="7" t="e">
        <f t="shared" si="4"/>
        <v>#REF!</v>
      </c>
      <c r="F31" s="7" t="e">
        <f t="shared" si="5"/>
        <v>#REF!</v>
      </c>
      <c r="G31" s="6" t="e">
        <f>E31</f>
        <v>#REF!</v>
      </c>
      <c r="J31" s="2"/>
      <c r="K31" s="2"/>
      <c r="L31" s="2"/>
      <c r="M31" s="2"/>
      <c r="N31" s="2"/>
      <c r="O31" s="2"/>
      <c r="P31" s="2"/>
      <c r="Q31" s="2"/>
      <c r="R31" s="11"/>
      <c r="S31" s="11"/>
      <c r="T31" s="11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</row>
    <row r="32" spans="1:50" ht="12.75" customHeight="1">
      <c r="A32" s="24">
        <v>7</v>
      </c>
      <c r="B32" s="39">
        <v>43506</v>
      </c>
      <c r="C32" s="7" t="e">
        <f>F31*#REF!</f>
        <v>#REF!</v>
      </c>
      <c r="D32" s="7" t="e">
        <f t="shared" si="3"/>
        <v>#REF!</v>
      </c>
      <c r="E32" s="7" t="e">
        <f t="shared" si="4"/>
        <v>#REF!</v>
      </c>
      <c r="F32" s="7" t="e">
        <f t="shared" si="5"/>
        <v>#REF!</v>
      </c>
      <c r="G32" s="6"/>
      <c r="H32" s="2" t="e">
        <f>E32</f>
        <v>#REF!</v>
      </c>
      <c r="K32" s="2"/>
      <c r="L32" s="2"/>
      <c r="M32" s="2"/>
      <c r="N32" s="2"/>
      <c r="O32" s="2"/>
      <c r="P32" s="2"/>
      <c r="Q32" s="2"/>
      <c r="R32" s="11"/>
      <c r="S32" s="11"/>
      <c r="T32" s="11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</row>
    <row r="33" spans="1:50" ht="12.75" customHeight="1">
      <c r="A33" s="24">
        <v>8</v>
      </c>
      <c r="B33" s="39">
        <v>43534</v>
      </c>
      <c r="C33" s="7" t="e">
        <f>F32*#REF!</f>
        <v>#REF!</v>
      </c>
      <c r="D33" s="7" t="e">
        <f t="shared" si="3"/>
        <v>#REF!</v>
      </c>
      <c r="E33" s="7" t="e">
        <f t="shared" si="4"/>
        <v>#REF!</v>
      </c>
      <c r="F33" s="7" t="e">
        <f t="shared" si="5"/>
        <v>#REF!</v>
      </c>
      <c r="G33" s="6"/>
      <c r="H33" s="2"/>
      <c r="I33" s="2" t="e">
        <f>E33</f>
        <v>#REF!</v>
      </c>
      <c r="K33" s="2"/>
      <c r="L33" s="2"/>
      <c r="M33" s="2"/>
      <c r="N33" s="2"/>
      <c r="O33" s="2"/>
      <c r="P33" s="2"/>
      <c r="Q33" s="2"/>
      <c r="R33" s="11"/>
      <c r="S33" s="11"/>
      <c r="T33" s="11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</row>
    <row r="34" spans="1:50" ht="12.75" customHeight="1">
      <c r="A34" s="24">
        <v>9</v>
      </c>
      <c r="B34" s="39">
        <v>43565</v>
      </c>
      <c r="C34" s="7" t="e">
        <f>F33*#REF!</f>
        <v>#REF!</v>
      </c>
      <c r="D34" s="7" t="e">
        <f t="shared" si="3"/>
        <v>#REF!</v>
      </c>
      <c r="E34" s="7" t="e">
        <f t="shared" si="4"/>
        <v>#REF!</v>
      </c>
      <c r="F34" s="7" t="e">
        <f t="shared" si="5"/>
        <v>#REF!</v>
      </c>
      <c r="G34" s="6"/>
      <c r="I34" s="2"/>
      <c r="J34" s="2" t="e">
        <f>E34</f>
        <v>#REF!</v>
      </c>
      <c r="L34" s="2"/>
      <c r="M34" s="2"/>
      <c r="N34" s="2"/>
      <c r="O34" s="2"/>
      <c r="P34" s="2"/>
      <c r="Q34" s="2"/>
      <c r="R34" s="11"/>
      <c r="S34" s="11"/>
      <c r="T34" s="11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</row>
    <row r="35" spans="1:50" ht="12.75" customHeight="1">
      <c r="A35" s="24">
        <v>10</v>
      </c>
      <c r="B35" s="39">
        <v>43595</v>
      </c>
      <c r="C35" s="7" t="e">
        <f>F34*#REF!</f>
        <v>#REF!</v>
      </c>
      <c r="D35" s="7" t="e">
        <f t="shared" si="3"/>
        <v>#REF!</v>
      </c>
      <c r="E35" s="7" t="e">
        <f t="shared" si="4"/>
        <v>#REF!</v>
      </c>
      <c r="F35" s="7" t="e">
        <f t="shared" si="5"/>
        <v>#REF!</v>
      </c>
      <c r="G35" s="6"/>
      <c r="J35" s="2"/>
      <c r="K35" s="2" t="e">
        <f>E35</f>
        <v>#REF!</v>
      </c>
      <c r="M35" s="2"/>
      <c r="N35" s="2"/>
      <c r="O35" s="2"/>
      <c r="P35" s="2"/>
      <c r="Q35" s="2"/>
      <c r="R35" s="11"/>
      <c r="S35" s="11"/>
      <c r="T35" s="11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</row>
    <row r="36" spans="1:50" ht="12.75" customHeight="1">
      <c r="A36" s="22">
        <v>11</v>
      </c>
      <c r="B36" s="39">
        <v>43626</v>
      </c>
      <c r="C36" s="7" t="e">
        <f>F35*#REF!</f>
        <v>#REF!</v>
      </c>
      <c r="D36" s="7" t="e">
        <f t="shared" si="3"/>
        <v>#REF!</v>
      </c>
      <c r="E36" s="7" t="e">
        <f t="shared" si="4"/>
        <v>#REF!</v>
      </c>
      <c r="F36" s="7" t="e">
        <f t="shared" si="5"/>
        <v>#REF!</v>
      </c>
      <c r="G36" s="21"/>
      <c r="H36" s="40"/>
      <c r="J36" s="2"/>
      <c r="K36" s="2"/>
      <c r="L36" s="2" t="e">
        <f>E36</f>
        <v>#REF!</v>
      </c>
      <c r="N36" s="2"/>
      <c r="O36" s="2"/>
      <c r="P36" s="2"/>
      <c r="Q36" s="2"/>
      <c r="R36" s="11"/>
      <c r="S36" s="11"/>
      <c r="T36" s="11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</row>
    <row r="37" spans="1:50" ht="12.75" customHeight="1">
      <c r="A37" s="22">
        <v>12</v>
      </c>
      <c r="B37" s="39">
        <v>43656</v>
      </c>
      <c r="C37" s="7" t="e">
        <f>F36*#REF!</f>
        <v>#REF!</v>
      </c>
      <c r="D37" s="7" t="e">
        <f t="shared" si="3"/>
        <v>#REF!</v>
      </c>
      <c r="E37" s="7" t="e">
        <f t="shared" si="4"/>
        <v>#REF!</v>
      </c>
      <c r="F37" s="7" t="e">
        <f>F36-D37+108.24+135.7</f>
        <v>#REF!</v>
      </c>
      <c r="G37" s="21"/>
      <c r="H37" s="40"/>
      <c r="J37" s="2"/>
      <c r="K37" s="2"/>
      <c r="L37" s="2"/>
      <c r="M37" s="2" t="e">
        <f>E37</f>
        <v>#REF!</v>
      </c>
      <c r="O37" s="2"/>
      <c r="P37" s="2"/>
      <c r="Q37" s="2"/>
      <c r="R37" s="11"/>
      <c r="S37" s="11"/>
      <c r="T37" s="11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</row>
    <row r="38" spans="1:50" ht="14.25">
      <c r="A38" s="975" t="s">
        <v>549</v>
      </c>
      <c r="B38" s="976"/>
      <c r="C38" s="976"/>
      <c r="D38" s="976"/>
      <c r="E38" s="976"/>
      <c r="F38" s="977"/>
      <c r="G38" s="6"/>
      <c r="J38" s="2"/>
      <c r="K38" s="2"/>
      <c r="L38" s="2"/>
      <c r="M38" s="2"/>
      <c r="N38" s="2"/>
      <c r="O38" s="2"/>
      <c r="P38" s="2"/>
      <c r="Q38" s="2"/>
      <c r="R38" s="11"/>
      <c r="S38" s="11"/>
      <c r="T38" s="11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</row>
    <row r="39" spans="1:50" s="83" customFormat="1" ht="12.75" customHeight="1">
      <c r="A39" s="200" t="s">
        <v>552</v>
      </c>
      <c r="B39" s="200" t="s">
        <v>535</v>
      </c>
      <c r="C39" s="17" t="s">
        <v>536</v>
      </c>
      <c r="D39" s="196" t="s">
        <v>537</v>
      </c>
      <c r="E39" s="196">
        <v>2.89</v>
      </c>
      <c r="F39" s="201">
        <v>43475</v>
      </c>
      <c r="G39" s="202" t="s">
        <v>75</v>
      </c>
      <c r="H39" s="194" t="s">
        <v>76</v>
      </c>
      <c r="I39" s="194" t="s">
        <v>77</v>
      </c>
      <c r="J39" s="203" t="s">
        <v>81</v>
      </c>
      <c r="K39" s="203" t="s">
        <v>82</v>
      </c>
      <c r="L39" s="203" t="s">
        <v>83</v>
      </c>
      <c r="M39" s="203" t="s">
        <v>84</v>
      </c>
      <c r="N39" s="203" t="s">
        <v>85</v>
      </c>
      <c r="O39" s="203" t="s">
        <v>86</v>
      </c>
      <c r="P39" s="203" t="s">
        <v>87</v>
      </c>
      <c r="Q39" s="203" t="s">
        <v>88</v>
      </c>
      <c r="R39" s="203" t="s">
        <v>74</v>
      </c>
      <c r="S39" s="20"/>
      <c r="T39" s="20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spans="1:50" s="83" customFormat="1" ht="12.75" customHeight="1">
      <c r="A40" s="978" t="s">
        <v>553</v>
      </c>
      <c r="B40" s="17" t="s">
        <v>119</v>
      </c>
      <c r="C40" s="17">
        <v>4000</v>
      </c>
      <c r="D40" s="195">
        <v>7.23</v>
      </c>
      <c r="E40" s="195" t="s">
        <v>539</v>
      </c>
      <c r="F40" s="195">
        <f>C42*C43</f>
        <v>5759.9774102718502</v>
      </c>
      <c r="G40" s="19"/>
      <c r="H40" s="18"/>
      <c r="I40" s="18"/>
      <c r="J40" s="20"/>
      <c r="K40" s="20"/>
      <c r="L40" s="20"/>
      <c r="M40" s="20"/>
      <c r="N40" s="20"/>
      <c r="O40" s="20"/>
      <c r="P40" s="20"/>
      <c r="Q40" s="20"/>
      <c r="R40" s="20"/>
      <c r="S40" s="20">
        <f>SUM(C40)</f>
        <v>4000</v>
      </c>
      <c r="T40" s="20">
        <f>F40</f>
        <v>5759.9774102718502</v>
      </c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spans="1:50" s="83" customFormat="1" ht="12.75" customHeight="1">
      <c r="A41" s="979"/>
      <c r="B41" s="17" t="s">
        <v>540</v>
      </c>
      <c r="C41" s="204">
        <v>0.06</v>
      </c>
      <c r="D41" s="195"/>
      <c r="E41" s="197" t="s">
        <v>541</v>
      </c>
      <c r="F41" s="195">
        <f>C40*(1+C41)^C42</f>
        <v>8048.7858873422074</v>
      </c>
      <c r="G41" s="19"/>
      <c r="H41" s="18"/>
      <c r="I41" s="18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spans="1:50" s="83" customFormat="1" ht="12.75" customHeight="1">
      <c r="A42" s="979"/>
      <c r="B42" s="17" t="s">
        <v>542</v>
      </c>
      <c r="C42" s="196">
        <v>12</v>
      </c>
      <c r="D42" s="198"/>
      <c r="E42" s="84" t="s">
        <v>543</v>
      </c>
      <c r="F42" s="199" t="e">
        <f>SUM(C45:C56)</f>
        <v>#REF!</v>
      </c>
      <c r="G42" s="19"/>
      <c r="H42" s="18"/>
      <c r="I42" s="18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 t="e">
        <f>F42</f>
        <v>#REF!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spans="1:50" s="83" customFormat="1" ht="12.75" customHeight="1">
      <c r="A43" s="980"/>
      <c r="B43" s="17" t="s">
        <v>544</v>
      </c>
      <c r="C43" s="17">
        <f>C40*C41+C40*C41/((1+C41)^C42-1)+E39</f>
        <v>479.99811752265418</v>
      </c>
      <c r="D43" s="85"/>
      <c r="E43" s="195" t="s">
        <v>89</v>
      </c>
      <c r="F43" s="85" t="e">
        <f>SUM(G45:R56)</f>
        <v>#REF!</v>
      </c>
      <c r="G43" s="19"/>
      <c r="H43" s="18"/>
      <c r="I43" s="18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18"/>
      <c r="V43" s="20" t="e">
        <f>F43</f>
        <v>#REF!</v>
      </c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spans="1:50" s="83" customFormat="1" ht="12.75" customHeight="1">
      <c r="A44" s="200" t="s">
        <v>545</v>
      </c>
      <c r="B44" s="17" t="s">
        <v>546</v>
      </c>
      <c r="C44" s="196" t="s">
        <v>547</v>
      </c>
      <c r="D44" s="205" t="s">
        <v>548</v>
      </c>
      <c r="E44" s="196" t="s">
        <v>251</v>
      </c>
      <c r="F44" s="205" t="s">
        <v>89</v>
      </c>
      <c r="G44" s="19"/>
      <c r="H44" s="18"/>
      <c r="I44" s="18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spans="1:50" s="83" customFormat="1" ht="12.75" customHeight="1">
      <c r="A45" s="16">
        <v>1</v>
      </c>
      <c r="B45" s="206">
        <v>43506</v>
      </c>
      <c r="C45" s="17">
        <f>C40*$C$41</f>
        <v>240</v>
      </c>
      <c r="D45" s="17">
        <f>C43-C45</f>
        <v>239.99811752265418</v>
      </c>
      <c r="E45" s="17">
        <f>C45+D45</f>
        <v>479.99811752265418</v>
      </c>
      <c r="F45" s="17">
        <f>C40-D45</f>
        <v>3760.001882477346</v>
      </c>
      <c r="G45" s="19"/>
      <c r="H45" s="18"/>
      <c r="I45" s="18"/>
      <c r="J45" s="20"/>
      <c r="K45" s="20"/>
      <c r="L45" s="20"/>
      <c r="M45" s="20"/>
      <c r="N45" s="20">
        <f>E45</f>
        <v>479.99811752265418</v>
      </c>
      <c r="O45" s="18"/>
      <c r="P45" s="20"/>
      <c r="Q45" s="20"/>
      <c r="R45" s="20"/>
      <c r="S45" s="20"/>
      <c r="T45" s="20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spans="1:50" s="83" customFormat="1" ht="12.75" customHeight="1">
      <c r="A46" s="16">
        <v>2</v>
      </c>
      <c r="B46" s="206">
        <v>43534</v>
      </c>
      <c r="C46" s="17" t="e">
        <f>F45*#REF!</f>
        <v>#REF!</v>
      </c>
      <c r="D46" s="17" t="e">
        <f t="shared" ref="D46:D56" si="6">E45-C46</f>
        <v>#REF!</v>
      </c>
      <c r="E46" s="17" t="e">
        <f t="shared" ref="E46:E56" si="7">C46+D46</f>
        <v>#REF!</v>
      </c>
      <c r="F46" s="17" t="e">
        <f t="shared" ref="F46:F55" si="8">F45-D46</f>
        <v>#REF!</v>
      </c>
      <c r="G46" s="19"/>
      <c r="H46" s="18"/>
      <c r="I46" s="18"/>
      <c r="J46" s="20"/>
      <c r="K46" s="20"/>
      <c r="L46" s="20"/>
      <c r="M46" s="20"/>
      <c r="N46" s="20"/>
      <c r="O46" s="20" t="e">
        <f>E46</f>
        <v>#REF!</v>
      </c>
      <c r="P46" s="18"/>
      <c r="Q46" s="20"/>
      <c r="R46" s="20"/>
      <c r="S46" s="20"/>
      <c r="T46" s="20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spans="1:50" s="83" customFormat="1" ht="12.75" customHeight="1">
      <c r="A47" s="16">
        <v>3</v>
      </c>
      <c r="B47" s="206">
        <v>43565</v>
      </c>
      <c r="C47" s="17" t="e">
        <f>F46*#REF!</f>
        <v>#REF!</v>
      </c>
      <c r="D47" s="17" t="e">
        <f t="shared" si="6"/>
        <v>#REF!</v>
      </c>
      <c r="E47" s="17" t="e">
        <f t="shared" si="7"/>
        <v>#REF!</v>
      </c>
      <c r="F47" s="17" t="e">
        <f t="shared" si="8"/>
        <v>#REF!</v>
      </c>
      <c r="G47" s="19"/>
      <c r="H47" s="18"/>
      <c r="I47" s="18"/>
      <c r="J47" s="20"/>
      <c r="K47" s="20"/>
      <c r="L47" s="20"/>
      <c r="M47" s="20"/>
      <c r="N47" s="20"/>
      <c r="O47" s="20"/>
      <c r="P47" s="20" t="e">
        <f>E47</f>
        <v>#REF!</v>
      </c>
      <c r="Q47" s="18"/>
      <c r="R47" s="20"/>
      <c r="S47" s="20"/>
      <c r="T47" s="20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spans="1:50" s="83" customFormat="1" ht="12.75" customHeight="1">
      <c r="A48" s="16">
        <v>4</v>
      </c>
      <c r="B48" s="206">
        <v>43595</v>
      </c>
      <c r="C48" s="17" t="e">
        <f>F47*#REF!</f>
        <v>#REF!</v>
      </c>
      <c r="D48" s="17" t="e">
        <f t="shared" si="6"/>
        <v>#REF!</v>
      </c>
      <c r="E48" s="17" t="e">
        <f t="shared" si="7"/>
        <v>#REF!</v>
      </c>
      <c r="F48" s="17" t="e">
        <f t="shared" si="8"/>
        <v>#REF!</v>
      </c>
      <c r="G48" s="20"/>
      <c r="H48" s="18"/>
      <c r="I48" s="18"/>
      <c r="J48" s="20"/>
      <c r="K48" s="20"/>
      <c r="L48" s="20"/>
      <c r="M48" s="20"/>
      <c r="N48" s="20"/>
      <c r="O48" s="20"/>
      <c r="P48" s="20"/>
      <c r="Q48" s="20" t="e">
        <f>E48</f>
        <v>#REF!</v>
      </c>
      <c r="R48" s="18"/>
      <c r="S48" s="20"/>
      <c r="T48" s="20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spans="1:50" s="83" customFormat="1" ht="12.75" customHeight="1">
      <c r="A49" s="16">
        <v>5</v>
      </c>
      <c r="B49" s="206">
        <v>43626</v>
      </c>
      <c r="C49" s="17" t="e">
        <f>F48*#REF!</f>
        <v>#REF!</v>
      </c>
      <c r="D49" s="17" t="e">
        <f t="shared" si="6"/>
        <v>#REF!</v>
      </c>
      <c r="E49" s="17" t="e">
        <f t="shared" si="7"/>
        <v>#REF!</v>
      </c>
      <c r="F49" s="17" t="e">
        <f t="shared" si="8"/>
        <v>#REF!</v>
      </c>
      <c r="G49" s="18"/>
      <c r="H49" s="19"/>
      <c r="I49" s="18"/>
      <c r="J49" s="20"/>
      <c r="K49" s="20"/>
      <c r="L49" s="20"/>
      <c r="M49" s="20"/>
      <c r="N49" s="20"/>
      <c r="O49" s="20"/>
      <c r="P49" s="20"/>
      <c r="Q49" s="20"/>
      <c r="R49" s="20" t="e">
        <f>E49</f>
        <v>#REF!</v>
      </c>
      <c r="S49" s="20"/>
      <c r="T49" s="20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spans="1:50" s="83" customFormat="1" ht="12.75" customHeight="1">
      <c r="A50" s="16">
        <v>6</v>
      </c>
      <c r="B50" s="206">
        <v>43656</v>
      </c>
      <c r="C50" s="17" t="e">
        <f>F49*#REF!</f>
        <v>#REF!</v>
      </c>
      <c r="D50" s="17" t="e">
        <f t="shared" si="6"/>
        <v>#REF!</v>
      </c>
      <c r="E50" s="17" t="e">
        <f t="shared" si="7"/>
        <v>#REF!</v>
      </c>
      <c r="F50" s="17" t="e">
        <f t="shared" si="8"/>
        <v>#REF!</v>
      </c>
      <c r="G50" s="19" t="e">
        <f>E50</f>
        <v>#REF!</v>
      </c>
      <c r="H50" s="18"/>
      <c r="I50" s="18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spans="1:50" s="83" customFormat="1" ht="12.75" customHeight="1">
      <c r="A51" s="16">
        <v>7</v>
      </c>
      <c r="B51" s="206">
        <v>43687</v>
      </c>
      <c r="C51" s="17" t="e">
        <f>F50*#REF!</f>
        <v>#REF!</v>
      </c>
      <c r="D51" s="17" t="e">
        <f t="shared" si="6"/>
        <v>#REF!</v>
      </c>
      <c r="E51" s="17" t="e">
        <f t="shared" si="7"/>
        <v>#REF!</v>
      </c>
      <c r="F51" s="17" t="e">
        <f t="shared" si="8"/>
        <v>#REF!</v>
      </c>
      <c r="G51" s="19"/>
      <c r="H51" s="20" t="e">
        <f>E51</f>
        <v>#REF!</v>
      </c>
      <c r="I51" s="18"/>
      <c r="J51" s="18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spans="1:50" s="83" customFormat="1" ht="12.75" customHeight="1">
      <c r="A52" s="16">
        <v>8</v>
      </c>
      <c r="B52" s="206">
        <v>43718</v>
      </c>
      <c r="C52" s="17" t="e">
        <f>F51*#REF!</f>
        <v>#REF!</v>
      </c>
      <c r="D52" s="17" t="e">
        <f t="shared" si="6"/>
        <v>#REF!</v>
      </c>
      <c r="E52" s="17" t="e">
        <f t="shared" si="7"/>
        <v>#REF!</v>
      </c>
      <c r="F52" s="17" t="e">
        <f t="shared" si="8"/>
        <v>#REF!</v>
      </c>
      <c r="G52" s="19"/>
      <c r="H52" s="20"/>
      <c r="I52" s="20" t="e">
        <f>E52</f>
        <v>#REF!</v>
      </c>
      <c r="J52" s="18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spans="1:50" s="83" customFormat="1" ht="12.75" customHeight="1">
      <c r="A53" s="16">
        <v>9</v>
      </c>
      <c r="B53" s="206">
        <v>43748</v>
      </c>
      <c r="C53" s="17" t="e">
        <f>F52*#REF!</f>
        <v>#REF!</v>
      </c>
      <c r="D53" s="17" t="e">
        <f t="shared" si="6"/>
        <v>#REF!</v>
      </c>
      <c r="E53" s="17" t="e">
        <f t="shared" si="7"/>
        <v>#REF!</v>
      </c>
      <c r="F53" s="17" t="e">
        <f t="shared" si="8"/>
        <v>#REF!</v>
      </c>
      <c r="G53" s="19"/>
      <c r="H53" s="18"/>
      <c r="I53" s="20"/>
      <c r="J53" s="20" t="e">
        <f>E53</f>
        <v>#REF!</v>
      </c>
      <c r="K53" s="18"/>
      <c r="L53" s="20"/>
      <c r="M53" s="20"/>
      <c r="N53" s="20"/>
      <c r="O53" s="20"/>
      <c r="P53" s="20"/>
      <c r="Q53" s="20"/>
      <c r="R53" s="20"/>
      <c r="S53" s="20"/>
      <c r="T53" s="20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spans="1:50" s="83" customFormat="1" ht="12.75" customHeight="1">
      <c r="A54" s="16">
        <v>10</v>
      </c>
      <c r="B54" s="206">
        <v>43779</v>
      </c>
      <c r="C54" s="17" t="e">
        <f>F53*#REF!</f>
        <v>#REF!</v>
      </c>
      <c r="D54" s="17" t="e">
        <f t="shared" si="6"/>
        <v>#REF!</v>
      </c>
      <c r="E54" s="17" t="e">
        <f t="shared" si="7"/>
        <v>#REF!</v>
      </c>
      <c r="F54" s="17" t="e">
        <f t="shared" si="8"/>
        <v>#REF!</v>
      </c>
      <c r="G54" s="19"/>
      <c r="H54" s="18"/>
      <c r="I54" s="18"/>
      <c r="J54" s="20"/>
      <c r="K54" s="20" t="e">
        <f>E54</f>
        <v>#REF!</v>
      </c>
      <c r="L54" s="18"/>
      <c r="M54" s="20"/>
      <c r="N54" s="20"/>
      <c r="O54" s="20"/>
      <c r="P54" s="20"/>
      <c r="Q54" s="20"/>
      <c r="R54" s="20"/>
      <c r="S54" s="20"/>
      <c r="T54" s="20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spans="1:50" s="83" customFormat="1" ht="12.75" customHeight="1">
      <c r="A55" s="207">
        <v>11</v>
      </c>
      <c r="B55" s="206">
        <v>43809</v>
      </c>
      <c r="C55" s="17" t="e">
        <f>F54*#REF!</f>
        <v>#REF!</v>
      </c>
      <c r="D55" s="17" t="e">
        <f t="shared" si="6"/>
        <v>#REF!</v>
      </c>
      <c r="E55" s="17" t="e">
        <f t="shared" si="7"/>
        <v>#REF!</v>
      </c>
      <c r="F55" s="17" t="e">
        <f t="shared" si="8"/>
        <v>#REF!</v>
      </c>
      <c r="G55" s="19"/>
      <c r="H55" s="18"/>
      <c r="I55" s="18"/>
      <c r="J55" s="20"/>
      <c r="K55" s="20"/>
      <c r="L55" s="20" t="e">
        <f>E55</f>
        <v>#REF!</v>
      </c>
      <c r="M55" s="18"/>
      <c r="N55" s="20"/>
      <c r="O55" s="20"/>
      <c r="P55" s="20"/>
      <c r="Q55" s="20"/>
      <c r="R55" s="20"/>
      <c r="S55" s="20"/>
      <c r="T55" s="20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spans="1:50" s="83" customFormat="1" ht="12.75" customHeight="1">
      <c r="A56" s="207">
        <v>12</v>
      </c>
      <c r="B56" s="206">
        <v>43840</v>
      </c>
      <c r="C56" s="17" t="e">
        <f>F55*#REF!</f>
        <v>#REF!</v>
      </c>
      <c r="D56" s="17" t="e">
        <f t="shared" si="6"/>
        <v>#REF!</v>
      </c>
      <c r="E56" s="17" t="e">
        <f t="shared" si="7"/>
        <v>#REF!</v>
      </c>
      <c r="F56" s="17" t="e">
        <f>F55-D56</f>
        <v>#REF!</v>
      </c>
      <c r="G56" s="19"/>
      <c r="H56" s="18"/>
      <c r="I56" s="18"/>
      <c r="J56" s="20"/>
      <c r="K56" s="20"/>
      <c r="L56" s="20"/>
      <c r="M56" s="20" t="e">
        <f>E56</f>
        <v>#REF!</v>
      </c>
      <c r="N56" s="18"/>
      <c r="O56" s="20"/>
      <c r="P56" s="20"/>
      <c r="Q56" s="20"/>
      <c r="R56" s="20"/>
      <c r="S56" s="20"/>
      <c r="T56" s="20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spans="1:50" s="83" customFormat="1" ht="14.25">
      <c r="A57" s="981" t="s">
        <v>549</v>
      </c>
      <c r="B57" s="982"/>
      <c r="C57" s="982"/>
      <c r="D57" s="982"/>
      <c r="E57" s="982"/>
      <c r="F57" s="983"/>
      <c r="G57" s="19"/>
      <c r="H57" s="18"/>
      <c r="I57" s="18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spans="1:50" ht="12.75" customHeight="1">
      <c r="A58" s="26" t="s">
        <v>554</v>
      </c>
      <c r="B58" s="26" t="s">
        <v>535</v>
      </c>
      <c r="C58" s="7" t="s">
        <v>536</v>
      </c>
      <c r="D58" s="9" t="s">
        <v>537</v>
      </c>
      <c r="E58" s="9">
        <v>3.61</v>
      </c>
      <c r="F58" s="86">
        <v>43517</v>
      </c>
      <c r="G58" s="1" t="s">
        <v>75</v>
      </c>
      <c r="H58" s="835" t="s">
        <v>76</v>
      </c>
      <c r="I58" s="835" t="s">
        <v>77</v>
      </c>
      <c r="J58" s="3" t="s">
        <v>81</v>
      </c>
      <c r="K58" s="3" t="s">
        <v>82</v>
      </c>
      <c r="L58" s="3" t="s">
        <v>83</v>
      </c>
      <c r="M58" s="3" t="s">
        <v>84</v>
      </c>
      <c r="N58" s="3" t="s">
        <v>85</v>
      </c>
      <c r="O58" s="3" t="s">
        <v>86</v>
      </c>
      <c r="P58" s="3" t="s">
        <v>87</v>
      </c>
      <c r="Q58" s="3" t="s">
        <v>88</v>
      </c>
      <c r="R58" s="23" t="s">
        <v>74</v>
      </c>
      <c r="S58" s="11"/>
      <c r="T58" s="11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</row>
    <row r="59" spans="1:50" ht="12.75" customHeight="1">
      <c r="A59" s="972" t="s">
        <v>555</v>
      </c>
      <c r="B59" s="7" t="s">
        <v>119</v>
      </c>
      <c r="C59" s="7">
        <v>20000</v>
      </c>
      <c r="D59" s="8">
        <v>7.23</v>
      </c>
      <c r="E59" s="8" t="s">
        <v>539</v>
      </c>
      <c r="F59" s="8">
        <f>C61*C62</f>
        <v>28669.807051359254</v>
      </c>
      <c r="G59" s="6"/>
      <c r="J59" s="2"/>
      <c r="K59" s="2"/>
      <c r="L59" s="2"/>
      <c r="M59" s="2"/>
      <c r="N59" s="2"/>
      <c r="O59" s="2"/>
      <c r="P59" s="2"/>
      <c r="Q59" s="2"/>
      <c r="R59" s="11"/>
      <c r="S59" s="11">
        <f>SUM(C59)</f>
        <v>20000</v>
      </c>
      <c r="T59" s="11">
        <f>F59</f>
        <v>28669.807051359254</v>
      </c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</row>
    <row r="60" spans="1:50" ht="12.75" customHeight="1">
      <c r="A60" s="973"/>
      <c r="B60" s="7" t="s">
        <v>540</v>
      </c>
      <c r="C60" s="14">
        <v>0.06</v>
      </c>
      <c r="D60" s="8"/>
      <c r="E60" s="5" t="s">
        <v>541</v>
      </c>
      <c r="F60" s="8">
        <f>C59*(1+C60)^C61</f>
        <v>40243.929436711034</v>
      </c>
      <c r="G60" s="6"/>
      <c r="J60" s="2"/>
      <c r="K60" s="2"/>
      <c r="L60" s="2"/>
      <c r="M60" s="2"/>
      <c r="N60" s="2"/>
      <c r="O60" s="2"/>
      <c r="P60" s="2"/>
      <c r="Q60" s="2"/>
      <c r="R60" s="11"/>
      <c r="S60" s="11"/>
      <c r="T60" s="11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</row>
    <row r="61" spans="1:50" ht="12.75" customHeight="1">
      <c r="A61" s="973"/>
      <c r="B61" s="7" t="s">
        <v>542</v>
      </c>
      <c r="C61" s="9">
        <v>12</v>
      </c>
      <c r="D61" s="42"/>
      <c r="E61" s="10" t="s">
        <v>543</v>
      </c>
      <c r="F61" s="43" t="e">
        <f>SUM(C64:C75)</f>
        <v>#REF!</v>
      </c>
      <c r="G61" s="6"/>
      <c r="J61" s="2"/>
      <c r="K61" s="2"/>
      <c r="L61" s="2"/>
      <c r="M61" s="2"/>
      <c r="N61" s="2"/>
      <c r="O61" s="2"/>
      <c r="P61" s="2"/>
      <c r="Q61" s="2"/>
      <c r="R61" s="11"/>
      <c r="S61" s="11"/>
      <c r="T61" s="11"/>
      <c r="U61" s="2" t="e">
        <f>F61</f>
        <v>#REF!</v>
      </c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</row>
    <row r="62" spans="1:50" ht="12.75" customHeight="1">
      <c r="A62" s="974"/>
      <c r="B62" s="7" t="s">
        <v>544</v>
      </c>
      <c r="C62" s="7">
        <f>C59*C60+C59*C60/((1+C60)^C61-1)+E58</f>
        <v>2389.150587613271</v>
      </c>
      <c r="D62" s="45"/>
      <c r="E62" s="8" t="s">
        <v>89</v>
      </c>
      <c r="F62" s="45">
        <f>SUM(G64:R75)</f>
        <v>26400</v>
      </c>
      <c r="G62" s="6"/>
      <c r="J62" s="2"/>
      <c r="K62" s="2"/>
      <c r="L62" s="2"/>
      <c r="M62" s="2"/>
      <c r="N62" s="2"/>
      <c r="O62" s="2"/>
      <c r="P62" s="2"/>
      <c r="Q62" s="2"/>
      <c r="R62" s="11"/>
      <c r="S62" s="11"/>
      <c r="T62" s="11"/>
      <c r="V62" s="2">
        <f>F62</f>
        <v>26400</v>
      </c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</row>
    <row r="63" spans="1:50" ht="12.75" customHeight="1">
      <c r="A63" s="26" t="s">
        <v>545</v>
      </c>
      <c r="B63" s="7" t="s">
        <v>546</v>
      </c>
      <c r="C63" s="9" t="s">
        <v>547</v>
      </c>
      <c r="D63" s="44" t="s">
        <v>548</v>
      </c>
      <c r="E63" s="9" t="s">
        <v>251</v>
      </c>
      <c r="F63" s="44" t="s">
        <v>89</v>
      </c>
      <c r="G63" s="6"/>
      <c r="J63" s="2"/>
      <c r="K63" s="2"/>
      <c r="L63" s="2"/>
      <c r="M63" s="2"/>
      <c r="N63" s="2"/>
      <c r="O63" s="2"/>
      <c r="P63" s="2"/>
      <c r="Q63" s="2"/>
      <c r="R63" s="11"/>
      <c r="S63" s="11"/>
      <c r="T63" s="11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</row>
    <row r="64" spans="1:50" ht="12.75" customHeight="1">
      <c r="A64" s="24">
        <v>1</v>
      </c>
      <c r="B64" s="39">
        <v>43534</v>
      </c>
      <c r="C64" s="7" t="e">
        <f>C59*#REF!</f>
        <v>#REF!</v>
      </c>
      <c r="D64" s="7" t="e">
        <f>C62-#REF!</f>
        <v>#REF!</v>
      </c>
      <c r="E64" s="7">
        <v>2400</v>
      </c>
      <c r="F64" s="7" t="e">
        <f>C59-D64</f>
        <v>#REF!</v>
      </c>
      <c r="G64" s="6"/>
      <c r="J64" s="2"/>
      <c r="K64" s="2"/>
      <c r="L64" s="2"/>
      <c r="M64" s="2"/>
      <c r="N64" s="2"/>
      <c r="P64" s="2"/>
      <c r="Q64" s="2"/>
      <c r="R64" s="11"/>
      <c r="S64" s="11"/>
      <c r="T64" s="11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</row>
    <row r="65" spans="1:50" ht="12.75" customHeight="1">
      <c r="A65" s="24">
        <v>2</v>
      </c>
      <c r="B65" s="39">
        <v>43565</v>
      </c>
      <c r="C65" s="7" t="e">
        <f>F64*#REF!</f>
        <v>#REF!</v>
      </c>
      <c r="D65" s="7" t="e">
        <f t="shared" ref="D65:D75" si="9">E64-C65</f>
        <v>#REF!</v>
      </c>
      <c r="E65" s="7" t="e">
        <f t="shared" ref="E65:E75" si="10">C65+D65</f>
        <v>#REF!</v>
      </c>
      <c r="F65" s="7" t="e">
        <f t="shared" ref="F65:F74" si="11">F64-D65</f>
        <v>#REF!</v>
      </c>
      <c r="G65" s="6"/>
      <c r="J65" s="2">
        <v>2400</v>
      </c>
      <c r="K65" s="2"/>
      <c r="L65" s="2"/>
      <c r="M65" s="2"/>
      <c r="N65" s="2"/>
      <c r="O65" s="2"/>
      <c r="Q65" s="2"/>
      <c r="R65" s="11"/>
      <c r="S65" s="11"/>
      <c r="T65" s="11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</row>
    <row r="66" spans="1:50" ht="12.75" customHeight="1">
      <c r="A66" s="24">
        <v>3</v>
      </c>
      <c r="B66" s="39">
        <v>43595</v>
      </c>
      <c r="C66" s="7" t="e">
        <f>F65*#REF!</f>
        <v>#REF!</v>
      </c>
      <c r="D66" s="7" t="e">
        <f t="shared" si="9"/>
        <v>#REF!</v>
      </c>
      <c r="E66" s="7" t="e">
        <f t="shared" si="10"/>
        <v>#REF!</v>
      </c>
      <c r="F66" s="7" t="e">
        <f t="shared" si="11"/>
        <v>#REF!</v>
      </c>
      <c r="G66" s="6"/>
      <c r="J66" s="2"/>
      <c r="K66" s="2">
        <v>2400</v>
      </c>
      <c r="L66" s="2"/>
      <c r="M66" s="2"/>
      <c r="N66" s="2"/>
      <c r="O66" s="2"/>
      <c r="P66" s="2"/>
      <c r="R66" s="2"/>
      <c r="S66" s="11"/>
      <c r="T66" s="11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</row>
    <row r="67" spans="1:50" ht="12.75" customHeight="1">
      <c r="A67" s="24">
        <v>4</v>
      </c>
      <c r="B67" s="39">
        <v>43626</v>
      </c>
      <c r="C67" s="7" t="e">
        <f>F66*#REF!</f>
        <v>#REF!</v>
      </c>
      <c r="D67" s="7" t="e">
        <f t="shared" si="9"/>
        <v>#REF!</v>
      </c>
      <c r="E67" s="7" t="e">
        <f t="shared" si="10"/>
        <v>#REF!</v>
      </c>
      <c r="F67" s="7" t="e">
        <f t="shared" si="11"/>
        <v>#REF!</v>
      </c>
      <c r="G67" s="11"/>
      <c r="J67" s="2"/>
      <c r="K67" s="2"/>
      <c r="L67" s="2">
        <v>2400</v>
      </c>
      <c r="M67" s="2"/>
      <c r="N67" s="2"/>
      <c r="O67" s="2"/>
      <c r="P67" s="2"/>
      <c r="Q67" s="2"/>
      <c r="S67" s="11"/>
      <c r="T67" s="11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</row>
    <row r="68" spans="1:50" ht="12.75" customHeight="1">
      <c r="A68" s="24">
        <v>5</v>
      </c>
      <c r="B68" s="39">
        <v>43656</v>
      </c>
      <c r="C68" s="7" t="e">
        <f>F67*#REF!</f>
        <v>#REF!</v>
      </c>
      <c r="D68" s="7" t="e">
        <f t="shared" si="9"/>
        <v>#REF!</v>
      </c>
      <c r="E68" s="7" t="e">
        <f t="shared" si="10"/>
        <v>#REF!</v>
      </c>
      <c r="F68" s="7" t="e">
        <f t="shared" si="11"/>
        <v>#REF!</v>
      </c>
      <c r="H68" s="6"/>
      <c r="J68" s="2"/>
      <c r="K68" s="2"/>
      <c r="L68" s="2"/>
      <c r="M68" s="2">
        <v>2400</v>
      </c>
      <c r="N68" s="2"/>
      <c r="O68" s="2"/>
      <c r="P68" s="2"/>
      <c r="Q68" s="2"/>
      <c r="R68" s="11"/>
      <c r="S68" s="11"/>
      <c r="T68" s="11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</row>
    <row r="69" spans="1:50" ht="12.75" customHeight="1">
      <c r="A69" s="24">
        <v>6</v>
      </c>
      <c r="B69" s="39">
        <v>43687</v>
      </c>
      <c r="C69" s="7" t="e">
        <f>F68*#REF!</f>
        <v>#REF!</v>
      </c>
      <c r="D69" s="7" t="e">
        <f t="shared" si="9"/>
        <v>#REF!</v>
      </c>
      <c r="E69" s="7" t="e">
        <f t="shared" si="10"/>
        <v>#REF!</v>
      </c>
      <c r="F69" s="7" t="e">
        <f t="shared" si="11"/>
        <v>#REF!</v>
      </c>
      <c r="G69" s="6"/>
      <c r="J69" s="2"/>
      <c r="K69" s="2"/>
      <c r="L69" s="2"/>
      <c r="M69" s="2"/>
      <c r="N69" s="2">
        <v>2400</v>
      </c>
      <c r="O69" s="2"/>
      <c r="P69" s="2"/>
      <c r="Q69" s="2"/>
      <c r="R69" s="11"/>
      <c r="S69" s="11"/>
      <c r="T69" s="11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</row>
    <row r="70" spans="1:50" ht="12.75" customHeight="1">
      <c r="A70" s="24">
        <v>7</v>
      </c>
      <c r="B70" s="39">
        <v>43718</v>
      </c>
      <c r="C70" s="7" t="e">
        <f>F69*#REF!</f>
        <v>#REF!</v>
      </c>
      <c r="D70" s="7" t="e">
        <f t="shared" si="9"/>
        <v>#REF!</v>
      </c>
      <c r="E70" s="7" t="e">
        <f t="shared" si="10"/>
        <v>#REF!</v>
      </c>
      <c r="F70" s="7" t="e">
        <f t="shared" si="11"/>
        <v>#REF!</v>
      </c>
      <c r="G70" s="6"/>
      <c r="H70" s="2"/>
      <c r="K70" s="2"/>
      <c r="L70" s="2"/>
      <c r="M70" s="2"/>
      <c r="N70" s="2"/>
      <c r="O70" s="2">
        <v>2400</v>
      </c>
      <c r="P70" s="2"/>
      <c r="Q70" s="2"/>
      <c r="R70" s="11"/>
      <c r="S70" s="11"/>
      <c r="T70" s="11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</row>
    <row r="71" spans="1:50" ht="12.75" customHeight="1">
      <c r="A71" s="24">
        <v>8</v>
      </c>
      <c r="B71" s="39">
        <v>43748</v>
      </c>
      <c r="C71" s="7" t="e">
        <f>F70*#REF!</f>
        <v>#REF!</v>
      </c>
      <c r="D71" s="7" t="e">
        <f t="shared" si="9"/>
        <v>#REF!</v>
      </c>
      <c r="E71" s="7" t="e">
        <f t="shared" si="10"/>
        <v>#REF!</v>
      </c>
      <c r="F71" s="7" t="e">
        <f t="shared" si="11"/>
        <v>#REF!</v>
      </c>
      <c r="G71" s="6"/>
      <c r="H71" s="2"/>
      <c r="I71" s="2"/>
      <c r="K71" s="2"/>
      <c r="L71" s="2"/>
      <c r="M71" s="2"/>
      <c r="N71" s="2"/>
      <c r="O71" s="2"/>
      <c r="P71" s="2">
        <v>2400</v>
      </c>
      <c r="Q71" s="2"/>
      <c r="R71" s="11"/>
      <c r="S71" s="11"/>
      <c r="T71" s="11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</row>
    <row r="72" spans="1:50" ht="12.75" customHeight="1">
      <c r="A72" s="24">
        <v>9</v>
      </c>
      <c r="B72" s="39">
        <v>43779</v>
      </c>
      <c r="C72" s="7" t="e">
        <f>F71*#REF!</f>
        <v>#REF!</v>
      </c>
      <c r="D72" s="7" t="e">
        <f t="shared" si="9"/>
        <v>#REF!</v>
      </c>
      <c r="E72" s="7" t="e">
        <f t="shared" si="10"/>
        <v>#REF!</v>
      </c>
      <c r="F72" s="7" t="e">
        <f t="shared" si="11"/>
        <v>#REF!</v>
      </c>
      <c r="G72" s="6"/>
      <c r="I72" s="2"/>
      <c r="J72" s="2"/>
      <c r="L72" s="2"/>
      <c r="M72" s="2"/>
      <c r="N72" s="2"/>
      <c r="O72" s="2"/>
      <c r="P72" s="2"/>
      <c r="Q72" s="2">
        <v>2400</v>
      </c>
      <c r="R72" s="11"/>
      <c r="S72" s="11"/>
      <c r="T72" s="11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</row>
    <row r="73" spans="1:50" ht="12.75" customHeight="1">
      <c r="A73" s="24">
        <v>10</v>
      </c>
      <c r="B73" s="39">
        <v>43809</v>
      </c>
      <c r="C73" s="7" t="e">
        <f>F72*#REF!</f>
        <v>#REF!</v>
      </c>
      <c r="D73" s="7" t="e">
        <f t="shared" si="9"/>
        <v>#REF!</v>
      </c>
      <c r="E73" s="7" t="e">
        <f t="shared" si="10"/>
        <v>#REF!</v>
      </c>
      <c r="F73" s="7" t="e">
        <f t="shared" si="11"/>
        <v>#REF!</v>
      </c>
      <c r="G73" s="6"/>
      <c r="J73" s="2"/>
      <c r="K73" s="2"/>
      <c r="M73" s="2"/>
      <c r="N73" s="2"/>
      <c r="O73" s="2"/>
      <c r="P73" s="2"/>
      <c r="Q73" s="2"/>
      <c r="R73" s="11">
        <v>2400</v>
      </c>
      <c r="S73" s="11"/>
      <c r="T73" s="11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</row>
    <row r="74" spans="1:50" ht="12.75" customHeight="1">
      <c r="A74" s="22">
        <v>11</v>
      </c>
      <c r="B74" s="39">
        <v>43840</v>
      </c>
      <c r="C74" s="7" t="e">
        <f>F73*#REF!</f>
        <v>#REF!</v>
      </c>
      <c r="D74" s="7" t="e">
        <f t="shared" si="9"/>
        <v>#REF!</v>
      </c>
      <c r="E74" s="7" t="e">
        <f t="shared" si="10"/>
        <v>#REF!</v>
      </c>
      <c r="F74" s="7" t="e">
        <f t="shared" si="11"/>
        <v>#REF!</v>
      </c>
      <c r="G74" s="6">
        <v>2400</v>
      </c>
      <c r="J74" s="2"/>
      <c r="K74" s="2"/>
      <c r="L74" s="2"/>
      <c r="N74" s="2"/>
      <c r="O74" s="2"/>
      <c r="P74" s="2"/>
      <c r="Q74" s="2"/>
      <c r="R74" s="11"/>
      <c r="S74" s="11"/>
      <c r="T74" s="11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</row>
    <row r="75" spans="1:50" ht="12.75" customHeight="1">
      <c r="A75" s="22">
        <v>12</v>
      </c>
      <c r="B75" s="39">
        <v>43871</v>
      </c>
      <c r="C75" s="7" t="e">
        <f>F74*#REF!</f>
        <v>#REF!</v>
      </c>
      <c r="D75" s="7" t="e">
        <f t="shared" si="9"/>
        <v>#REF!</v>
      </c>
      <c r="E75" s="7" t="e">
        <f t="shared" si="10"/>
        <v>#REF!</v>
      </c>
      <c r="F75" s="7" t="e">
        <f>F74-D75+108.24+135.7</f>
        <v>#REF!</v>
      </c>
      <c r="G75" s="6"/>
      <c r="H75" s="6">
        <v>2400</v>
      </c>
      <c r="J75" s="2"/>
      <c r="K75" s="2"/>
      <c r="L75" s="2"/>
      <c r="M75" s="2"/>
      <c r="O75" s="2"/>
      <c r="P75" s="2"/>
      <c r="Q75" s="2"/>
      <c r="R75" s="11"/>
      <c r="S75" s="11"/>
      <c r="T75" s="11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</row>
    <row r="76" spans="1:50" ht="14.25">
      <c r="A76" s="975" t="s">
        <v>549</v>
      </c>
      <c r="B76" s="976"/>
      <c r="C76" s="976"/>
      <c r="D76" s="976"/>
      <c r="E76" s="976"/>
      <c r="F76" s="977"/>
      <c r="G76" s="6"/>
      <c r="J76" s="2"/>
      <c r="K76" s="2"/>
      <c r="L76" s="2"/>
      <c r="M76" s="2"/>
      <c r="N76" s="2"/>
      <c r="O76" s="2"/>
      <c r="P76" s="2"/>
      <c r="Q76" s="2"/>
      <c r="R76" s="11"/>
      <c r="S76" s="11"/>
      <c r="T76" s="11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</row>
    <row r="77" spans="1:50" ht="12.75" customHeight="1">
      <c r="A77" s="26" t="s">
        <v>556</v>
      </c>
      <c r="B77" s="26" t="s">
        <v>535</v>
      </c>
      <c r="C77" s="7" t="s">
        <v>536</v>
      </c>
      <c r="D77" s="9" t="s">
        <v>537</v>
      </c>
      <c r="E77" s="9">
        <v>7.23</v>
      </c>
      <c r="F77" s="86">
        <v>43517</v>
      </c>
      <c r="G77" s="1" t="s">
        <v>75</v>
      </c>
      <c r="H77" s="835" t="s">
        <v>76</v>
      </c>
      <c r="I77" s="835" t="s">
        <v>77</v>
      </c>
      <c r="J77" s="3" t="s">
        <v>81</v>
      </c>
      <c r="K77" s="3" t="s">
        <v>82</v>
      </c>
      <c r="L77" s="3" t="s">
        <v>83</v>
      </c>
      <c r="M77" s="3" t="s">
        <v>84</v>
      </c>
      <c r="N77" s="3" t="s">
        <v>85</v>
      </c>
      <c r="O77" s="3" t="s">
        <v>86</v>
      </c>
      <c r="P77" s="3" t="s">
        <v>87</v>
      </c>
      <c r="Q77" s="3" t="s">
        <v>88</v>
      </c>
      <c r="R77" s="23" t="s">
        <v>74</v>
      </c>
      <c r="S77" s="11"/>
      <c r="T77" s="11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</row>
    <row r="78" spans="1:50" ht="12.75" customHeight="1">
      <c r="A78" s="972" t="s">
        <v>557</v>
      </c>
      <c r="B78" s="7" t="s">
        <v>119</v>
      </c>
      <c r="C78" s="7">
        <v>10000</v>
      </c>
      <c r="D78" s="7">
        <f>(1+C79)^C80</f>
        <v>2.0121964718355518</v>
      </c>
      <c r="E78" s="7" t="s">
        <v>539</v>
      </c>
      <c r="F78" s="8">
        <f>C80*C81</f>
        <v>14400.003525679625</v>
      </c>
      <c r="G78" s="6"/>
      <c r="J78" s="2"/>
      <c r="K78" s="2"/>
      <c r="L78" s="2"/>
      <c r="M78" s="2"/>
      <c r="N78" s="2"/>
      <c r="O78" s="2"/>
      <c r="P78" s="2"/>
      <c r="Q78" s="2"/>
      <c r="R78" s="11"/>
      <c r="S78" s="11">
        <f>SUM(C78)</f>
        <v>10000</v>
      </c>
      <c r="T78" s="11">
        <f>F78</f>
        <v>14400.003525679625</v>
      </c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</row>
    <row r="79" spans="1:50" ht="12.75" customHeight="1">
      <c r="A79" s="973"/>
      <c r="B79" s="7" t="s">
        <v>540</v>
      </c>
      <c r="C79" s="14">
        <v>0.06</v>
      </c>
      <c r="D79" s="7" t="s">
        <v>558</v>
      </c>
      <c r="E79" s="9" t="s">
        <v>541</v>
      </c>
      <c r="F79" s="8">
        <f>C78*(1+C79)^C80</f>
        <v>20121.964718355517</v>
      </c>
      <c r="G79" s="6"/>
      <c r="J79" s="2"/>
      <c r="K79" s="2"/>
      <c r="L79" s="2"/>
      <c r="M79" s="2"/>
      <c r="N79" s="2"/>
      <c r="O79" s="2"/>
      <c r="P79" s="2"/>
      <c r="Q79" s="2"/>
      <c r="R79" s="11"/>
      <c r="S79" s="11"/>
      <c r="T79" s="11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</row>
    <row r="80" spans="1:50" ht="12.75" customHeight="1">
      <c r="A80" s="973"/>
      <c r="B80" s="7" t="s">
        <v>542</v>
      </c>
      <c r="C80" s="9">
        <v>12</v>
      </c>
      <c r="D80" s="89">
        <v>121.97</v>
      </c>
      <c r="E80" s="90" t="s">
        <v>543</v>
      </c>
      <c r="F80" s="43">
        <f>SUM(C83:C94)</f>
        <v>4278.033850823459</v>
      </c>
      <c r="G80" s="6"/>
      <c r="J80" s="2"/>
      <c r="K80" s="2"/>
      <c r="L80" s="2"/>
      <c r="M80" s="2"/>
      <c r="N80" s="2"/>
      <c r="O80" s="2"/>
      <c r="P80" s="2"/>
      <c r="Q80" s="2"/>
      <c r="R80" s="11"/>
      <c r="S80" s="11"/>
      <c r="T80" s="11"/>
      <c r="U80" s="2">
        <f>F80</f>
        <v>4278.033850823459</v>
      </c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</row>
    <row r="81" spans="1:50" ht="12.75" customHeight="1">
      <c r="A81" s="974"/>
      <c r="B81" s="7" t="s">
        <v>545</v>
      </c>
      <c r="C81" s="7">
        <f>C78*((C79*D78)/(D78-1))+E77</f>
        <v>1200.0002938066355</v>
      </c>
      <c r="D81" s="92"/>
      <c r="E81" s="7" t="s">
        <v>89</v>
      </c>
      <c r="F81" s="45">
        <f>SUM(G83:R94)</f>
        <v>13200</v>
      </c>
      <c r="G81" s="6"/>
      <c r="J81" s="2"/>
      <c r="K81" s="2"/>
      <c r="L81" s="2"/>
      <c r="M81" s="2"/>
      <c r="N81" s="2"/>
      <c r="O81" s="2"/>
      <c r="P81" s="2"/>
      <c r="Q81" s="2"/>
      <c r="R81" s="11"/>
      <c r="S81" s="11"/>
      <c r="T81" s="11"/>
      <c r="V81" s="2">
        <f>F81</f>
        <v>13200</v>
      </c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</row>
    <row r="82" spans="1:50" ht="12.75" customHeight="1">
      <c r="A82" s="26" t="s">
        <v>545</v>
      </c>
      <c r="B82" s="7" t="s">
        <v>559</v>
      </c>
      <c r="C82" s="9" t="s">
        <v>547</v>
      </c>
      <c r="D82" s="44" t="s">
        <v>548</v>
      </c>
      <c r="E82" s="9" t="s">
        <v>560</v>
      </c>
      <c r="F82" s="44" t="s">
        <v>486</v>
      </c>
      <c r="G82" s="6"/>
      <c r="J82" s="2"/>
      <c r="K82" s="2"/>
      <c r="L82" s="2"/>
      <c r="M82" s="2"/>
      <c r="N82" s="2"/>
      <c r="O82" s="2"/>
      <c r="P82" s="2"/>
      <c r="Q82" s="2"/>
      <c r="R82" s="11"/>
      <c r="S82" s="11"/>
      <c r="T82" s="11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</row>
    <row r="83" spans="1:50" ht="12.75" customHeight="1">
      <c r="A83" s="24">
        <v>1</v>
      </c>
      <c r="B83" s="88">
        <f>C78</f>
        <v>10000</v>
      </c>
      <c r="C83" s="7">
        <f t="shared" ref="C83:C88" si="12">B83*$C$136</f>
        <v>600</v>
      </c>
      <c r="D83" s="7">
        <f>C81-C83</f>
        <v>600.00029380663545</v>
      </c>
      <c r="E83" s="7">
        <f>C83+D83</f>
        <v>1200.0002938066355</v>
      </c>
      <c r="F83" s="7">
        <f>B83-D83</f>
        <v>9399.9997061933645</v>
      </c>
      <c r="G83" s="6"/>
      <c r="J83" s="2"/>
      <c r="K83" s="2"/>
      <c r="L83" s="2"/>
      <c r="M83" s="2"/>
      <c r="N83" s="2"/>
      <c r="P83" s="2"/>
      <c r="Q83" s="2"/>
      <c r="R83" s="11"/>
      <c r="S83" s="11"/>
      <c r="T83" s="11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</row>
    <row r="84" spans="1:50" ht="12.75" customHeight="1">
      <c r="A84" s="24">
        <v>2</v>
      </c>
      <c r="B84" s="88">
        <f t="shared" ref="B84:B94" si="13">F83</f>
        <v>9399.9997061933645</v>
      </c>
      <c r="C84" s="7">
        <f t="shared" si="12"/>
        <v>563.99998237160185</v>
      </c>
      <c r="D84" s="7">
        <f>C81-C84</f>
        <v>636.00031143503361</v>
      </c>
      <c r="E84" s="7">
        <f t="shared" ref="E84:E94" si="14">C84+D84</f>
        <v>1200.0002938066355</v>
      </c>
      <c r="F84" s="7">
        <f t="shared" ref="F84:F93" si="15">B84-D84</f>
        <v>8763.9993947583316</v>
      </c>
      <c r="G84" s="6"/>
      <c r="J84" s="2">
        <v>1200</v>
      </c>
      <c r="K84" s="2"/>
      <c r="L84" s="2"/>
      <c r="M84" s="2"/>
      <c r="N84" s="2"/>
      <c r="O84" s="2"/>
      <c r="Q84" s="2"/>
      <c r="R84" s="11"/>
      <c r="S84" s="11"/>
      <c r="T84" s="11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</row>
    <row r="85" spans="1:50" ht="12.75" customHeight="1">
      <c r="A85" s="24">
        <v>3</v>
      </c>
      <c r="B85" s="88">
        <f t="shared" si="13"/>
        <v>8763.9993947583316</v>
      </c>
      <c r="C85" s="7">
        <f t="shared" si="12"/>
        <v>525.83996368549992</v>
      </c>
      <c r="D85" s="7">
        <f t="shared" ref="D85:D94" si="16">E84-C85</f>
        <v>674.16033012113553</v>
      </c>
      <c r="E85" s="7">
        <f t="shared" si="14"/>
        <v>1200.0002938066355</v>
      </c>
      <c r="F85" s="7">
        <f t="shared" si="15"/>
        <v>8089.8390646371963</v>
      </c>
      <c r="G85" s="6"/>
      <c r="J85" s="2"/>
      <c r="K85" s="2">
        <v>1200</v>
      </c>
      <c r="L85" s="2"/>
      <c r="M85" s="2"/>
      <c r="N85" s="2"/>
      <c r="O85" s="2"/>
      <c r="P85" s="2"/>
      <c r="R85" s="2"/>
      <c r="S85" s="11"/>
      <c r="T85" s="11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</row>
    <row r="86" spans="1:50" ht="12.75" customHeight="1">
      <c r="A86" s="24">
        <v>4</v>
      </c>
      <c r="B86" s="88">
        <f t="shared" si="13"/>
        <v>8089.8390646371963</v>
      </c>
      <c r="C86" s="7">
        <f t="shared" si="12"/>
        <v>485.39034387823176</v>
      </c>
      <c r="D86" s="7">
        <f t="shared" si="16"/>
        <v>714.60994992840369</v>
      </c>
      <c r="E86" s="7">
        <f t="shared" si="14"/>
        <v>1200.0002938066355</v>
      </c>
      <c r="F86" s="7">
        <f t="shared" si="15"/>
        <v>7375.2291147087926</v>
      </c>
      <c r="G86" s="11"/>
      <c r="J86" s="2"/>
      <c r="K86" s="2"/>
      <c r="L86" s="2">
        <v>1200</v>
      </c>
      <c r="M86" s="2"/>
      <c r="N86" s="2"/>
      <c r="O86" s="2"/>
      <c r="P86" s="2"/>
      <c r="Q86" s="2"/>
      <c r="S86" s="11"/>
      <c r="T86" s="11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</row>
    <row r="87" spans="1:50" ht="12.75" customHeight="1">
      <c r="A87" s="24">
        <v>5</v>
      </c>
      <c r="B87" s="88">
        <f t="shared" si="13"/>
        <v>7375.2291147087926</v>
      </c>
      <c r="C87" s="7">
        <f t="shared" si="12"/>
        <v>442.51374688252753</v>
      </c>
      <c r="D87" s="7">
        <f t="shared" si="16"/>
        <v>757.48654692410787</v>
      </c>
      <c r="E87" s="7">
        <f t="shared" si="14"/>
        <v>1200.0002938066355</v>
      </c>
      <c r="F87" s="7">
        <f t="shared" si="15"/>
        <v>6617.742567784685</v>
      </c>
      <c r="H87" s="6"/>
      <c r="J87" s="2"/>
      <c r="K87" s="2"/>
      <c r="L87" s="2"/>
      <c r="M87" s="2">
        <v>1200</v>
      </c>
      <c r="N87" s="2"/>
      <c r="O87" s="2"/>
      <c r="P87" s="2"/>
      <c r="Q87" s="2"/>
      <c r="R87" s="11"/>
      <c r="S87" s="11"/>
      <c r="T87" s="11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</row>
    <row r="88" spans="1:50" ht="12.75" customHeight="1">
      <c r="A88" s="24">
        <v>6</v>
      </c>
      <c r="B88" s="88">
        <f t="shared" si="13"/>
        <v>6617.742567784685</v>
      </c>
      <c r="C88" s="7">
        <f t="shared" si="12"/>
        <v>397.06455406708108</v>
      </c>
      <c r="D88" s="7">
        <f t="shared" si="16"/>
        <v>802.93573973955438</v>
      </c>
      <c r="E88" s="7">
        <f t="shared" si="14"/>
        <v>1200.0002938066355</v>
      </c>
      <c r="F88" s="7">
        <f t="shared" si="15"/>
        <v>5814.8068280451307</v>
      </c>
      <c r="G88" s="6"/>
      <c r="J88" s="2"/>
      <c r="K88" s="2"/>
      <c r="L88" s="2"/>
      <c r="M88" s="2"/>
      <c r="N88" s="2">
        <v>1200</v>
      </c>
      <c r="O88" s="2"/>
      <c r="P88" s="2"/>
      <c r="Q88" s="2"/>
      <c r="R88" s="11"/>
      <c r="S88" s="11"/>
      <c r="T88" s="11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</row>
    <row r="89" spans="1:50" ht="12.75" customHeight="1">
      <c r="A89" s="24">
        <v>7</v>
      </c>
      <c r="B89" s="88">
        <f t="shared" si="13"/>
        <v>5814.8068280451307</v>
      </c>
      <c r="C89" s="7">
        <f t="shared" ref="C89:C94" si="17">B89*$C$136</f>
        <v>348.88840968270785</v>
      </c>
      <c r="D89" s="7">
        <f t="shared" si="16"/>
        <v>851.11188412392767</v>
      </c>
      <c r="E89" s="7">
        <f t="shared" si="14"/>
        <v>1200.0002938066355</v>
      </c>
      <c r="F89" s="7">
        <f t="shared" si="15"/>
        <v>4963.694943921203</v>
      </c>
      <c r="G89" s="6"/>
      <c r="H89" s="2"/>
      <c r="K89" s="2"/>
      <c r="L89" s="2"/>
      <c r="M89" s="2"/>
      <c r="N89" s="2"/>
      <c r="O89" s="2">
        <v>1200</v>
      </c>
      <c r="P89" s="2"/>
      <c r="Q89" s="2"/>
      <c r="R89" s="11"/>
      <c r="S89" s="11"/>
      <c r="T89" s="11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</row>
    <row r="90" spans="1:50" ht="12.75" customHeight="1">
      <c r="A90" s="24">
        <v>8</v>
      </c>
      <c r="B90" s="88">
        <f t="shared" si="13"/>
        <v>4963.694943921203</v>
      </c>
      <c r="C90" s="7">
        <f t="shared" si="17"/>
        <v>297.82169663527219</v>
      </c>
      <c r="D90" s="7">
        <f t="shared" si="16"/>
        <v>902.17859717136321</v>
      </c>
      <c r="E90" s="7">
        <f t="shared" si="14"/>
        <v>1200.0002938066355</v>
      </c>
      <c r="F90" s="7">
        <f t="shared" si="15"/>
        <v>4061.5163467498396</v>
      </c>
      <c r="G90" s="6"/>
      <c r="H90" s="2"/>
      <c r="I90" s="2"/>
      <c r="K90" s="2"/>
      <c r="L90" s="2"/>
      <c r="M90" s="2"/>
      <c r="N90" s="2"/>
      <c r="O90" s="2"/>
      <c r="P90" s="2">
        <v>1200</v>
      </c>
      <c r="Q90" s="2"/>
      <c r="R90" s="11"/>
      <c r="S90" s="11"/>
      <c r="T90" s="11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</row>
    <row r="91" spans="1:50" ht="12.75" customHeight="1">
      <c r="A91" s="24">
        <v>9</v>
      </c>
      <c r="B91" s="88">
        <f t="shared" si="13"/>
        <v>4061.5163467498396</v>
      </c>
      <c r="C91" s="7">
        <f t="shared" si="17"/>
        <v>243.69098080499037</v>
      </c>
      <c r="D91" s="7">
        <f t="shared" si="16"/>
        <v>956.30931300164502</v>
      </c>
      <c r="E91" s="7">
        <f t="shared" si="14"/>
        <v>1200.0002938066355</v>
      </c>
      <c r="F91" s="7">
        <f t="shared" si="15"/>
        <v>3105.2070337481946</v>
      </c>
      <c r="G91" s="6"/>
      <c r="I91" s="2"/>
      <c r="J91" s="2"/>
      <c r="L91" s="2"/>
      <c r="M91" s="2"/>
      <c r="N91" s="2"/>
      <c r="O91" s="2"/>
      <c r="P91" s="2"/>
      <c r="Q91" s="2">
        <v>1200</v>
      </c>
      <c r="R91" s="11"/>
      <c r="S91" s="11"/>
      <c r="T91" s="11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</row>
    <row r="92" spans="1:50" ht="12.75" customHeight="1">
      <c r="A92" s="24">
        <v>10</v>
      </c>
      <c r="B92" s="88">
        <f t="shared" si="13"/>
        <v>3105.2070337481946</v>
      </c>
      <c r="C92" s="7">
        <f t="shared" si="17"/>
        <v>186.31242202489167</v>
      </c>
      <c r="D92" s="7">
        <f t="shared" si="16"/>
        <v>1013.6878717817438</v>
      </c>
      <c r="E92" s="7">
        <f t="shared" si="14"/>
        <v>1200.0002938066355</v>
      </c>
      <c r="F92" s="7">
        <f t="shared" si="15"/>
        <v>2091.5191619664511</v>
      </c>
      <c r="G92" s="6"/>
      <c r="J92" s="2"/>
      <c r="K92" s="2"/>
      <c r="M92" s="2"/>
      <c r="N92" s="2"/>
      <c r="O92" s="2"/>
      <c r="P92" s="2"/>
      <c r="Q92" s="2"/>
      <c r="R92" s="11">
        <v>1200</v>
      </c>
      <c r="S92" s="11"/>
      <c r="T92" s="11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</row>
    <row r="93" spans="1:50" ht="12.75" customHeight="1">
      <c r="A93" s="22">
        <v>11</v>
      </c>
      <c r="B93" s="88">
        <f t="shared" si="13"/>
        <v>2091.5191619664511</v>
      </c>
      <c r="C93" s="7">
        <f t="shared" si="17"/>
        <v>125.49114971798706</v>
      </c>
      <c r="D93" s="7">
        <f t="shared" si="16"/>
        <v>1074.5091440886483</v>
      </c>
      <c r="E93" s="7">
        <f t="shared" si="14"/>
        <v>1200.0002938066355</v>
      </c>
      <c r="F93" s="7">
        <f t="shared" si="15"/>
        <v>1017.0100178778027</v>
      </c>
      <c r="G93" s="21">
        <v>1200</v>
      </c>
      <c r="H93" s="40"/>
      <c r="J93" s="2"/>
      <c r="K93" s="2"/>
      <c r="L93" s="2"/>
      <c r="N93" s="2"/>
      <c r="O93" s="2"/>
      <c r="P93" s="2"/>
      <c r="Q93" s="2"/>
      <c r="R93" s="11"/>
      <c r="S93" s="11"/>
      <c r="T93" s="11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</row>
    <row r="94" spans="1:50" ht="12.75" customHeight="1">
      <c r="A94" s="22">
        <v>12</v>
      </c>
      <c r="B94" s="88">
        <f t="shared" si="13"/>
        <v>1017.0100178778027</v>
      </c>
      <c r="C94" s="7">
        <f t="shared" si="17"/>
        <v>61.020601072668164</v>
      </c>
      <c r="D94" s="7">
        <f t="shared" si="16"/>
        <v>1138.9796927339673</v>
      </c>
      <c r="E94" s="7">
        <f t="shared" si="14"/>
        <v>1200.0002938066355</v>
      </c>
      <c r="F94" s="7">
        <f>B94-D94+D80</f>
        <v>3.2514383539705705E-4</v>
      </c>
      <c r="G94" s="21"/>
      <c r="H94" s="21">
        <v>1200</v>
      </c>
      <c r="J94" s="2"/>
      <c r="K94" s="2"/>
      <c r="L94" s="2"/>
      <c r="M94" s="2"/>
      <c r="O94" s="2"/>
      <c r="P94" s="2"/>
      <c r="Q94" s="2"/>
      <c r="R94" s="11"/>
      <c r="S94" s="11"/>
      <c r="T94" s="11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</row>
    <row r="95" spans="1:50" ht="14.25">
      <c r="A95" s="975" t="s">
        <v>549</v>
      </c>
      <c r="B95" s="976"/>
      <c r="C95" s="976"/>
      <c r="D95" s="976"/>
      <c r="E95" s="976"/>
      <c r="F95" s="977"/>
      <c r="G95" s="6"/>
      <c r="J95" s="2"/>
      <c r="K95" s="2"/>
      <c r="L95" s="2"/>
      <c r="M95" s="2"/>
      <c r="N95" s="2"/>
      <c r="O95" s="2"/>
      <c r="P95" s="2"/>
      <c r="Q95" s="2"/>
      <c r="R95" s="11"/>
      <c r="S95" s="11"/>
      <c r="T95" s="11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</row>
    <row r="96" spans="1:50" s="83" customFormat="1" ht="12.75" customHeight="1">
      <c r="A96" s="200" t="s">
        <v>552</v>
      </c>
      <c r="B96" s="200" t="s">
        <v>535</v>
      </c>
      <c r="C96" s="17" t="s">
        <v>536</v>
      </c>
      <c r="D96" s="196" t="s">
        <v>537</v>
      </c>
      <c r="E96" s="196">
        <v>2.89</v>
      </c>
      <c r="F96" s="201">
        <v>43475</v>
      </c>
      <c r="G96" s="202" t="s">
        <v>75</v>
      </c>
      <c r="H96" s="194" t="s">
        <v>76</v>
      </c>
      <c r="I96" s="194" t="s">
        <v>77</v>
      </c>
      <c r="J96" s="203" t="s">
        <v>81</v>
      </c>
      <c r="K96" s="203" t="s">
        <v>82</v>
      </c>
      <c r="L96" s="203" t="s">
        <v>83</v>
      </c>
      <c r="M96" s="203" t="s">
        <v>84</v>
      </c>
      <c r="N96" s="203" t="s">
        <v>85</v>
      </c>
      <c r="O96" s="203" t="s">
        <v>86</v>
      </c>
      <c r="P96" s="203" t="s">
        <v>87</v>
      </c>
      <c r="Q96" s="203" t="s">
        <v>88</v>
      </c>
      <c r="R96" s="203" t="s">
        <v>74</v>
      </c>
      <c r="S96" s="20"/>
      <c r="T96" s="20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</row>
    <row r="97" spans="1:50" s="83" customFormat="1" ht="12.75" customHeight="1">
      <c r="A97" s="978" t="s">
        <v>561</v>
      </c>
      <c r="B97" s="17" t="s">
        <v>119</v>
      </c>
      <c r="C97" s="17">
        <v>4000</v>
      </c>
      <c r="D97" s="195">
        <v>7.23</v>
      </c>
      <c r="E97" s="195" t="s">
        <v>539</v>
      </c>
      <c r="F97" s="195">
        <f>C99*C100</f>
        <v>5759.9774102718502</v>
      </c>
      <c r="G97" s="19"/>
      <c r="H97" s="18"/>
      <c r="I97" s="18"/>
      <c r="J97" s="20"/>
      <c r="K97" s="20"/>
      <c r="L97" s="20"/>
      <c r="M97" s="20"/>
      <c r="N97" s="20"/>
      <c r="O97" s="20"/>
      <c r="P97" s="20"/>
      <c r="Q97" s="20"/>
      <c r="R97" s="20"/>
      <c r="S97" s="20">
        <f>SUM(C97)</f>
        <v>4000</v>
      </c>
      <c r="T97" s="20">
        <f>F97</f>
        <v>5759.9774102718502</v>
      </c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</row>
    <row r="98" spans="1:50" s="83" customFormat="1" ht="12.75" customHeight="1">
      <c r="A98" s="979"/>
      <c r="B98" s="17" t="s">
        <v>540</v>
      </c>
      <c r="C98" s="204">
        <v>0.06</v>
      </c>
      <c r="D98" s="195"/>
      <c r="E98" s="197" t="s">
        <v>541</v>
      </c>
      <c r="F98" s="195">
        <f>C97*(1+C98)^C99</f>
        <v>8048.7858873422074</v>
      </c>
      <c r="G98" s="19"/>
      <c r="H98" s="18"/>
      <c r="I98" s="18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</row>
    <row r="99" spans="1:50" s="83" customFormat="1" ht="12.75" customHeight="1">
      <c r="A99" s="979"/>
      <c r="B99" s="17" t="s">
        <v>542</v>
      </c>
      <c r="C99" s="196">
        <v>12</v>
      </c>
      <c r="D99" s="198"/>
      <c r="E99" s="84" t="s">
        <v>543</v>
      </c>
      <c r="F99" s="199" t="e">
        <f>SUM(C102:C113)</f>
        <v>#REF!</v>
      </c>
      <c r="G99" s="19"/>
      <c r="H99" s="18"/>
      <c r="I99" s="18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 t="e">
        <f>F99</f>
        <v>#REF!</v>
      </c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</row>
    <row r="100" spans="1:50" s="83" customFormat="1" ht="12.75" customHeight="1">
      <c r="A100" s="980"/>
      <c r="B100" s="17" t="s">
        <v>544</v>
      </c>
      <c r="C100" s="17">
        <f>C97*C98+C97*C98/((1+C98)^C99-1)+E96</f>
        <v>479.99811752265418</v>
      </c>
      <c r="D100" s="85"/>
      <c r="E100" s="195" t="s">
        <v>89</v>
      </c>
      <c r="F100" s="85">
        <f>SUM(G102:R113)</f>
        <v>4800</v>
      </c>
      <c r="G100" s="19"/>
      <c r="H100" s="18"/>
      <c r="I100" s="18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18"/>
      <c r="V100" s="20">
        <f>F100</f>
        <v>4800</v>
      </c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</row>
    <row r="101" spans="1:50" s="83" customFormat="1" ht="12.75" customHeight="1">
      <c r="A101" s="200" t="s">
        <v>545</v>
      </c>
      <c r="B101" s="17" t="s">
        <v>546</v>
      </c>
      <c r="C101" s="196" t="s">
        <v>547</v>
      </c>
      <c r="D101" s="205" t="s">
        <v>548</v>
      </c>
      <c r="E101" s="196" t="s">
        <v>251</v>
      </c>
      <c r="F101" s="205" t="s">
        <v>89</v>
      </c>
      <c r="G101" s="19"/>
      <c r="H101" s="18"/>
      <c r="I101" s="18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</row>
    <row r="102" spans="1:50" s="83" customFormat="1" ht="12.75" customHeight="1">
      <c r="A102" s="16">
        <v>1</v>
      </c>
      <c r="B102" s="206">
        <v>43506</v>
      </c>
      <c r="C102" s="17">
        <f>C97*$C$41</f>
        <v>240</v>
      </c>
      <c r="D102" s="17">
        <f>C100-C102</f>
        <v>239.99811752265418</v>
      </c>
      <c r="E102" s="17">
        <f>C102+D102</f>
        <v>479.99811752265418</v>
      </c>
      <c r="F102" s="17">
        <f>C97-D102</f>
        <v>3760.001882477346</v>
      </c>
      <c r="G102" s="19"/>
      <c r="H102" s="18"/>
      <c r="I102" s="18"/>
      <c r="J102" s="20"/>
      <c r="K102" s="20"/>
      <c r="L102" s="20"/>
      <c r="M102" s="20"/>
      <c r="N102" s="20"/>
      <c r="O102" s="18"/>
      <c r="P102" s="20"/>
      <c r="Q102" s="20"/>
      <c r="R102" s="20"/>
      <c r="S102" s="20"/>
      <c r="T102" s="20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</row>
    <row r="103" spans="1:50" s="83" customFormat="1" ht="12.75" customHeight="1">
      <c r="A103" s="16">
        <v>2</v>
      </c>
      <c r="B103" s="206">
        <v>43534</v>
      </c>
      <c r="C103" s="17" t="e">
        <f>F102*#REF!</f>
        <v>#REF!</v>
      </c>
      <c r="D103" s="17" t="e">
        <f t="shared" ref="D103:D113" si="18">E102-C103</f>
        <v>#REF!</v>
      </c>
      <c r="E103" s="17" t="e">
        <f t="shared" ref="E103:E113" si="19">C103+D103</f>
        <v>#REF!</v>
      </c>
      <c r="F103" s="17" t="e">
        <f t="shared" ref="F103:F112" si="20">F102-D103</f>
        <v>#REF!</v>
      </c>
      <c r="G103" s="19"/>
      <c r="H103" s="18"/>
      <c r="I103" s="18"/>
      <c r="J103" s="20"/>
      <c r="K103" s="20"/>
      <c r="L103" s="20"/>
      <c r="M103" s="20"/>
      <c r="N103" s="20"/>
      <c r="O103" s="20"/>
      <c r="P103" s="18"/>
      <c r="Q103" s="20"/>
      <c r="R103" s="20"/>
      <c r="S103" s="20"/>
      <c r="T103" s="20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</row>
    <row r="104" spans="1:50" s="83" customFormat="1" ht="12.75" customHeight="1">
      <c r="A104" s="16">
        <v>3</v>
      </c>
      <c r="B104" s="206">
        <v>43565</v>
      </c>
      <c r="C104" s="17" t="e">
        <f>F103*#REF!</f>
        <v>#REF!</v>
      </c>
      <c r="D104" s="17" t="e">
        <f t="shared" si="18"/>
        <v>#REF!</v>
      </c>
      <c r="E104" s="17" t="e">
        <f t="shared" si="19"/>
        <v>#REF!</v>
      </c>
      <c r="F104" s="17" t="e">
        <f t="shared" si="20"/>
        <v>#REF!</v>
      </c>
      <c r="G104" s="19"/>
      <c r="H104" s="18"/>
      <c r="I104" s="18"/>
      <c r="J104" s="20">
        <v>480</v>
      </c>
      <c r="K104" s="20"/>
      <c r="L104" s="20"/>
      <c r="M104" s="20"/>
      <c r="N104" s="20"/>
      <c r="O104" s="20"/>
      <c r="P104" s="20"/>
      <c r="Q104" s="18"/>
      <c r="R104" s="20"/>
      <c r="S104" s="20"/>
      <c r="T104" s="20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</row>
    <row r="105" spans="1:50" s="83" customFormat="1" ht="12.75" customHeight="1">
      <c r="A105" s="16">
        <v>4</v>
      </c>
      <c r="B105" s="206">
        <v>43595</v>
      </c>
      <c r="C105" s="17" t="e">
        <f>F104*#REF!</f>
        <v>#REF!</v>
      </c>
      <c r="D105" s="17" t="e">
        <f t="shared" si="18"/>
        <v>#REF!</v>
      </c>
      <c r="E105" s="17" t="e">
        <f t="shared" si="19"/>
        <v>#REF!</v>
      </c>
      <c r="F105" s="17" t="e">
        <f t="shared" si="20"/>
        <v>#REF!</v>
      </c>
      <c r="G105" s="20"/>
      <c r="H105" s="18"/>
      <c r="I105" s="18"/>
      <c r="J105" s="20"/>
      <c r="K105" s="20">
        <v>480</v>
      </c>
      <c r="L105" s="20"/>
      <c r="M105" s="20"/>
      <c r="N105" s="20"/>
      <c r="O105" s="20"/>
      <c r="P105" s="20"/>
      <c r="Q105" s="20"/>
      <c r="R105" s="18"/>
      <c r="S105" s="20"/>
      <c r="T105" s="20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</row>
    <row r="106" spans="1:50" s="83" customFormat="1" ht="12.75" customHeight="1">
      <c r="A106" s="16">
        <v>5</v>
      </c>
      <c r="B106" s="206">
        <v>43626</v>
      </c>
      <c r="C106" s="17" t="e">
        <f>F105*#REF!</f>
        <v>#REF!</v>
      </c>
      <c r="D106" s="17" t="e">
        <f t="shared" si="18"/>
        <v>#REF!</v>
      </c>
      <c r="E106" s="17" t="e">
        <f t="shared" si="19"/>
        <v>#REF!</v>
      </c>
      <c r="F106" s="17" t="e">
        <f t="shared" si="20"/>
        <v>#REF!</v>
      </c>
      <c r="G106" s="18"/>
      <c r="H106" s="19"/>
      <c r="I106" s="18"/>
      <c r="J106" s="20"/>
      <c r="K106" s="20"/>
      <c r="L106" s="20">
        <v>480</v>
      </c>
      <c r="M106" s="20"/>
      <c r="N106" s="20"/>
      <c r="O106" s="20"/>
      <c r="P106" s="20"/>
      <c r="Q106" s="20"/>
      <c r="R106" s="20"/>
      <c r="S106" s="20"/>
      <c r="T106" s="20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</row>
    <row r="107" spans="1:50" s="83" customFormat="1" ht="12.75" customHeight="1">
      <c r="A107" s="16">
        <v>6</v>
      </c>
      <c r="B107" s="206">
        <v>43656</v>
      </c>
      <c r="C107" s="17" t="e">
        <f>F106*#REF!</f>
        <v>#REF!</v>
      </c>
      <c r="D107" s="17" t="e">
        <f t="shared" si="18"/>
        <v>#REF!</v>
      </c>
      <c r="E107" s="17" t="e">
        <f t="shared" si="19"/>
        <v>#REF!</v>
      </c>
      <c r="F107" s="17" t="e">
        <f t="shared" si="20"/>
        <v>#REF!</v>
      </c>
      <c r="G107" s="19"/>
      <c r="H107" s="18"/>
      <c r="I107" s="18"/>
      <c r="J107" s="20"/>
      <c r="K107" s="20"/>
      <c r="L107" s="20"/>
      <c r="M107" s="20">
        <v>480</v>
      </c>
      <c r="N107" s="20"/>
      <c r="O107" s="20"/>
      <c r="P107" s="20"/>
      <c r="Q107" s="20"/>
      <c r="R107" s="20"/>
      <c r="S107" s="20"/>
      <c r="T107" s="20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</row>
    <row r="108" spans="1:50" s="83" customFormat="1" ht="12.75" customHeight="1">
      <c r="A108" s="16">
        <v>7</v>
      </c>
      <c r="B108" s="206">
        <v>43687</v>
      </c>
      <c r="C108" s="17" t="e">
        <f>F107*#REF!</f>
        <v>#REF!</v>
      </c>
      <c r="D108" s="17" t="e">
        <f t="shared" si="18"/>
        <v>#REF!</v>
      </c>
      <c r="E108" s="17" t="e">
        <f t="shared" si="19"/>
        <v>#REF!</v>
      </c>
      <c r="F108" s="17" t="e">
        <f t="shared" si="20"/>
        <v>#REF!</v>
      </c>
      <c r="G108" s="19"/>
      <c r="H108" s="20"/>
      <c r="I108" s="18"/>
      <c r="J108" s="18"/>
      <c r="K108" s="20"/>
      <c r="L108" s="20"/>
      <c r="M108" s="20"/>
      <c r="N108" s="20">
        <v>480</v>
      </c>
      <c r="O108" s="20"/>
      <c r="P108" s="20"/>
      <c r="Q108" s="20"/>
      <c r="R108" s="20"/>
      <c r="S108" s="20"/>
      <c r="T108" s="20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</row>
    <row r="109" spans="1:50" s="83" customFormat="1" ht="12.75" customHeight="1">
      <c r="A109" s="16">
        <v>8</v>
      </c>
      <c r="B109" s="206">
        <v>43718</v>
      </c>
      <c r="C109" s="17" t="e">
        <f>F108*#REF!</f>
        <v>#REF!</v>
      </c>
      <c r="D109" s="17" t="e">
        <f t="shared" si="18"/>
        <v>#REF!</v>
      </c>
      <c r="E109" s="17" t="e">
        <f t="shared" si="19"/>
        <v>#REF!</v>
      </c>
      <c r="F109" s="17" t="e">
        <f t="shared" si="20"/>
        <v>#REF!</v>
      </c>
      <c r="G109" s="19"/>
      <c r="H109" s="20"/>
      <c r="I109" s="20"/>
      <c r="J109" s="18"/>
      <c r="K109" s="20"/>
      <c r="L109" s="20"/>
      <c r="M109" s="20"/>
      <c r="N109" s="20"/>
      <c r="O109" s="20">
        <v>480</v>
      </c>
      <c r="P109" s="20"/>
      <c r="Q109" s="20"/>
      <c r="R109" s="20"/>
      <c r="S109" s="20"/>
      <c r="T109" s="20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</row>
    <row r="110" spans="1:50" s="83" customFormat="1" ht="12.75" customHeight="1">
      <c r="A110" s="16">
        <v>9</v>
      </c>
      <c r="B110" s="206">
        <v>43748</v>
      </c>
      <c r="C110" s="17" t="e">
        <f>F109*#REF!</f>
        <v>#REF!</v>
      </c>
      <c r="D110" s="17" t="e">
        <f t="shared" si="18"/>
        <v>#REF!</v>
      </c>
      <c r="E110" s="17" t="e">
        <f t="shared" si="19"/>
        <v>#REF!</v>
      </c>
      <c r="F110" s="17" t="e">
        <f t="shared" si="20"/>
        <v>#REF!</v>
      </c>
      <c r="G110" s="19"/>
      <c r="H110" s="18"/>
      <c r="I110" s="20"/>
      <c r="J110" s="20"/>
      <c r="K110" s="18"/>
      <c r="L110" s="20"/>
      <c r="M110" s="20"/>
      <c r="N110" s="20"/>
      <c r="O110" s="20"/>
      <c r="P110" s="20">
        <v>480</v>
      </c>
      <c r="Q110" s="20"/>
      <c r="R110" s="20"/>
      <c r="S110" s="20"/>
      <c r="T110" s="20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</row>
    <row r="111" spans="1:50" s="83" customFormat="1" ht="12.75" customHeight="1">
      <c r="A111" s="16">
        <v>10</v>
      </c>
      <c r="B111" s="206">
        <v>43779</v>
      </c>
      <c r="C111" s="17" t="e">
        <f>F110*#REF!</f>
        <v>#REF!</v>
      </c>
      <c r="D111" s="17" t="e">
        <f t="shared" si="18"/>
        <v>#REF!</v>
      </c>
      <c r="E111" s="17" t="e">
        <f t="shared" si="19"/>
        <v>#REF!</v>
      </c>
      <c r="F111" s="17" t="e">
        <f t="shared" si="20"/>
        <v>#REF!</v>
      </c>
      <c r="G111" s="19"/>
      <c r="H111" s="18"/>
      <c r="I111" s="18"/>
      <c r="J111" s="20"/>
      <c r="K111" s="20"/>
      <c r="L111" s="18"/>
      <c r="M111" s="20"/>
      <c r="N111" s="20"/>
      <c r="O111" s="20"/>
      <c r="P111" s="20"/>
      <c r="Q111" s="20">
        <v>480</v>
      </c>
      <c r="R111" s="20"/>
      <c r="S111" s="20"/>
      <c r="T111" s="20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</row>
    <row r="112" spans="1:50" s="83" customFormat="1" ht="12.75" customHeight="1">
      <c r="A112" s="207">
        <v>11</v>
      </c>
      <c r="B112" s="206">
        <v>43809</v>
      </c>
      <c r="C112" s="17" t="e">
        <f>F111*#REF!</f>
        <v>#REF!</v>
      </c>
      <c r="D112" s="17" t="e">
        <f t="shared" si="18"/>
        <v>#REF!</v>
      </c>
      <c r="E112" s="17" t="e">
        <f t="shared" si="19"/>
        <v>#REF!</v>
      </c>
      <c r="F112" s="17" t="e">
        <f t="shared" si="20"/>
        <v>#REF!</v>
      </c>
      <c r="G112" s="19"/>
      <c r="H112" s="18"/>
      <c r="I112" s="18"/>
      <c r="J112" s="20"/>
      <c r="K112" s="20"/>
      <c r="L112" s="20"/>
      <c r="M112" s="18"/>
      <c r="N112" s="20"/>
      <c r="O112" s="20"/>
      <c r="P112" s="20"/>
      <c r="Q112" s="20"/>
      <c r="R112" s="20">
        <v>480</v>
      </c>
      <c r="S112" s="20"/>
      <c r="T112" s="20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</row>
    <row r="113" spans="1:50" s="83" customFormat="1" ht="12.75" customHeight="1">
      <c r="A113" s="207">
        <v>12</v>
      </c>
      <c r="B113" s="206">
        <v>43840</v>
      </c>
      <c r="C113" s="17" t="e">
        <f>F112*#REF!</f>
        <v>#REF!</v>
      </c>
      <c r="D113" s="17" t="e">
        <f t="shared" si="18"/>
        <v>#REF!</v>
      </c>
      <c r="E113" s="17" t="e">
        <f t="shared" si="19"/>
        <v>#REF!</v>
      </c>
      <c r="F113" s="17" t="e">
        <f>F112-D113</f>
        <v>#REF!</v>
      </c>
      <c r="G113" s="19">
        <v>480</v>
      </c>
      <c r="H113" s="18"/>
      <c r="I113" s="18"/>
      <c r="J113" s="20"/>
      <c r="K113" s="20"/>
      <c r="L113" s="20"/>
      <c r="M113" s="20"/>
      <c r="N113" s="18"/>
      <c r="O113" s="20"/>
      <c r="P113" s="20"/>
      <c r="Q113" s="20"/>
      <c r="R113" s="20"/>
      <c r="S113" s="20"/>
      <c r="T113" s="20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</row>
    <row r="114" spans="1:50" s="83" customFormat="1" ht="14.25">
      <c r="A114" s="981" t="s">
        <v>549</v>
      </c>
      <c r="B114" s="982"/>
      <c r="C114" s="982"/>
      <c r="D114" s="982"/>
      <c r="E114" s="982"/>
      <c r="F114" s="983"/>
      <c r="G114" s="19"/>
      <c r="H114" s="18"/>
      <c r="I114" s="18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</row>
    <row r="115" spans="1:50" ht="12.75" customHeight="1">
      <c r="A115" s="26" t="s">
        <v>562</v>
      </c>
      <c r="B115" s="26" t="s">
        <v>535</v>
      </c>
      <c r="C115" s="7" t="s">
        <v>536</v>
      </c>
      <c r="D115" s="9" t="s">
        <v>537</v>
      </c>
      <c r="E115" s="9">
        <v>3.61</v>
      </c>
      <c r="F115" s="86">
        <v>43530</v>
      </c>
      <c r="G115" s="1" t="s">
        <v>75</v>
      </c>
      <c r="H115" s="835" t="s">
        <v>76</v>
      </c>
      <c r="I115" s="835" t="s">
        <v>77</v>
      </c>
      <c r="J115" s="3" t="s">
        <v>81</v>
      </c>
      <c r="K115" s="3" t="s">
        <v>82</v>
      </c>
      <c r="L115" s="3" t="s">
        <v>83</v>
      </c>
      <c r="M115" s="3" t="s">
        <v>84</v>
      </c>
      <c r="N115" s="3" t="s">
        <v>85</v>
      </c>
      <c r="O115" s="3" t="s">
        <v>86</v>
      </c>
      <c r="P115" s="3" t="s">
        <v>87</v>
      </c>
      <c r="Q115" s="3" t="s">
        <v>88</v>
      </c>
      <c r="R115" s="23" t="s">
        <v>74</v>
      </c>
      <c r="S115" s="11"/>
      <c r="T115" s="11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</row>
    <row r="116" spans="1:50" ht="12.75" customHeight="1">
      <c r="A116" s="972" t="s">
        <v>563</v>
      </c>
      <c r="B116" s="7" t="s">
        <v>119</v>
      </c>
      <c r="C116" s="7">
        <v>20000</v>
      </c>
      <c r="D116" s="7">
        <v>7.23</v>
      </c>
      <c r="E116" s="8" t="s">
        <v>539</v>
      </c>
      <c r="F116" s="8">
        <f>C118*C119</f>
        <v>28669.807051359254</v>
      </c>
      <c r="G116" s="6"/>
      <c r="J116" s="2"/>
      <c r="K116" s="2"/>
      <c r="L116" s="2"/>
      <c r="M116" s="2"/>
      <c r="N116" s="2"/>
      <c r="O116" s="2"/>
      <c r="P116" s="2"/>
      <c r="Q116" s="2"/>
      <c r="R116" s="11"/>
      <c r="S116" s="11">
        <f>SUM(C116)</f>
        <v>20000</v>
      </c>
      <c r="T116" s="11">
        <f>F116</f>
        <v>28669.807051359254</v>
      </c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</row>
    <row r="117" spans="1:50" ht="12.75" customHeight="1">
      <c r="A117" s="973"/>
      <c r="B117" s="7" t="s">
        <v>540</v>
      </c>
      <c r="C117" s="14">
        <v>0.06</v>
      </c>
      <c r="D117" s="8"/>
      <c r="E117" s="5" t="s">
        <v>541</v>
      </c>
      <c r="F117" s="8">
        <f>C116*(1+C117)^C118</f>
        <v>40243.929436711034</v>
      </c>
      <c r="G117" s="6"/>
      <c r="J117" s="2"/>
      <c r="K117" s="2"/>
      <c r="L117" s="2"/>
      <c r="M117" s="2"/>
      <c r="N117" s="2"/>
      <c r="O117" s="2"/>
      <c r="P117" s="2"/>
      <c r="Q117" s="2"/>
      <c r="R117" s="11"/>
      <c r="S117" s="11"/>
      <c r="T117" s="11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</row>
    <row r="118" spans="1:50" ht="12.75" customHeight="1">
      <c r="A118" s="973"/>
      <c r="B118" s="7" t="s">
        <v>542</v>
      </c>
      <c r="C118" s="9">
        <v>12</v>
      </c>
      <c r="D118" s="42"/>
      <c r="E118" s="10" t="s">
        <v>543</v>
      </c>
      <c r="F118" s="43">
        <f>SUM(C121:C132)</f>
        <v>8556.0705632889949</v>
      </c>
      <c r="G118" s="6"/>
      <c r="J118" s="2"/>
      <c r="K118" s="2"/>
      <c r="L118" s="2"/>
      <c r="M118" s="2"/>
      <c r="N118" s="2"/>
      <c r="O118" s="2"/>
      <c r="P118" s="2"/>
      <c r="Q118" s="2"/>
      <c r="R118" s="11"/>
      <c r="S118" s="11"/>
      <c r="T118" s="11"/>
      <c r="U118" s="2">
        <f>F118</f>
        <v>8556.0705632889949</v>
      </c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</row>
    <row r="119" spans="1:50" ht="12.75" customHeight="1">
      <c r="A119" s="974"/>
      <c r="B119" s="7" t="s">
        <v>544</v>
      </c>
      <c r="C119" s="7">
        <f>C116*C117+C116*C117/((1+C117)^C118-1)+E115</f>
        <v>2389.150587613271</v>
      </c>
      <c r="D119" s="45"/>
      <c r="E119" s="8" t="s">
        <v>89</v>
      </c>
      <c r="F119" s="45">
        <f>SUM(G121:R132)</f>
        <v>60276.236215748759</v>
      </c>
      <c r="G119" s="6"/>
      <c r="J119" s="2"/>
      <c r="K119" s="2"/>
      <c r="L119" s="2"/>
      <c r="M119" s="2"/>
      <c r="N119" s="2"/>
      <c r="O119" s="2"/>
      <c r="P119" s="2"/>
      <c r="Q119" s="2"/>
      <c r="R119" s="11"/>
      <c r="S119" s="11"/>
      <c r="T119" s="11"/>
      <c r="V119" s="2">
        <f>F119</f>
        <v>60276.236215748759</v>
      </c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</row>
    <row r="120" spans="1:50" ht="12.75" customHeight="1">
      <c r="A120" s="26" t="s">
        <v>545</v>
      </c>
      <c r="B120" s="7" t="s">
        <v>119</v>
      </c>
      <c r="C120" s="9" t="s">
        <v>547</v>
      </c>
      <c r="D120" s="44" t="s">
        <v>548</v>
      </c>
      <c r="E120" s="9" t="s">
        <v>545</v>
      </c>
      <c r="F120" s="44" t="s">
        <v>89</v>
      </c>
      <c r="G120" s="6"/>
      <c r="J120" s="2"/>
      <c r="K120" s="2"/>
      <c r="L120" s="2"/>
      <c r="M120" s="2"/>
      <c r="N120" s="2"/>
      <c r="O120" s="2"/>
      <c r="P120" s="2"/>
      <c r="Q120" s="2"/>
      <c r="R120" s="11"/>
      <c r="S120" s="11"/>
      <c r="T120" s="11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</row>
    <row r="121" spans="1:50" ht="12.75" customHeight="1">
      <c r="A121" s="227">
        <v>43561</v>
      </c>
      <c r="B121" s="88">
        <v>20000</v>
      </c>
      <c r="C121" s="7">
        <f>B121*$C$117</f>
        <v>1200</v>
      </c>
      <c r="D121" s="7">
        <f>E121-C121</f>
        <v>1200</v>
      </c>
      <c r="E121" s="7">
        <v>2400</v>
      </c>
      <c r="F121" s="7">
        <f>B121-D121</f>
        <v>18800</v>
      </c>
      <c r="G121" s="6"/>
      <c r="J121" s="2"/>
      <c r="K121" s="2"/>
      <c r="L121" s="2"/>
      <c r="M121" s="2"/>
      <c r="N121" s="2"/>
      <c r="P121" s="2"/>
      <c r="Q121" s="2"/>
      <c r="R121" s="11"/>
      <c r="S121" s="11"/>
      <c r="T121" s="11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</row>
    <row r="122" spans="1:50" ht="12.75" customHeight="1">
      <c r="A122" s="227">
        <v>43591</v>
      </c>
      <c r="B122" s="88">
        <f>F121</f>
        <v>18800</v>
      </c>
      <c r="C122" s="7">
        <f>B122*$C$117</f>
        <v>1128</v>
      </c>
      <c r="D122" s="7">
        <f t="shared" ref="D122:D132" si="21">E122-C122</f>
        <v>1272</v>
      </c>
      <c r="E122" s="7">
        <v>2400</v>
      </c>
      <c r="F122" s="7">
        <f t="shared" ref="F122:F132" si="22">B122-D122</f>
        <v>17528</v>
      </c>
      <c r="G122" s="6"/>
      <c r="J122" s="2"/>
      <c r="K122" s="2"/>
      <c r="L122" s="2"/>
      <c r="M122" s="2"/>
      <c r="N122" s="2"/>
      <c r="O122" s="2"/>
      <c r="Q122" s="2"/>
      <c r="R122" s="11"/>
      <c r="S122" s="11"/>
      <c r="T122" s="11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</row>
    <row r="123" spans="1:50" ht="12.75" customHeight="1">
      <c r="A123" s="227">
        <v>43622</v>
      </c>
      <c r="B123" s="88">
        <f t="shared" ref="B123:B132" si="23">F122</f>
        <v>17528</v>
      </c>
      <c r="C123" s="7">
        <f>B123*$C$117</f>
        <v>1051.68</v>
      </c>
      <c r="D123" s="7">
        <f t="shared" si="21"/>
        <v>1348.32</v>
      </c>
      <c r="E123" s="7">
        <v>2400</v>
      </c>
      <c r="F123" s="7">
        <f t="shared" si="22"/>
        <v>16179.68</v>
      </c>
      <c r="G123" s="6"/>
      <c r="J123" s="2"/>
      <c r="K123" s="2"/>
      <c r="L123" s="2"/>
      <c r="M123" s="2"/>
      <c r="N123" s="2"/>
      <c r="O123" s="2"/>
      <c r="P123" s="2"/>
      <c r="R123" s="2"/>
      <c r="S123" s="11"/>
      <c r="T123" s="11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</row>
    <row r="124" spans="1:50" ht="12.75" customHeight="1">
      <c r="A124" s="227">
        <v>43652</v>
      </c>
      <c r="B124" s="88">
        <f t="shared" si="23"/>
        <v>16179.68</v>
      </c>
      <c r="C124" s="7">
        <f>B124*$C$117</f>
        <v>970.7808</v>
      </c>
      <c r="D124" s="7">
        <f t="shared" si="21"/>
        <v>1429.2192</v>
      </c>
      <c r="E124" s="7">
        <v>2400</v>
      </c>
      <c r="F124" s="7">
        <f t="shared" si="22"/>
        <v>14750.460800000001</v>
      </c>
      <c r="G124" s="11"/>
      <c r="J124" s="2"/>
      <c r="K124" s="2"/>
      <c r="L124" s="2"/>
      <c r="M124" s="2"/>
      <c r="N124" s="2"/>
      <c r="O124" s="2"/>
      <c r="P124" s="2"/>
      <c r="Q124" s="2"/>
      <c r="S124" s="11"/>
      <c r="T124" s="11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</row>
    <row r="125" spans="1:50" ht="12.75" customHeight="1">
      <c r="A125" s="227">
        <v>43683</v>
      </c>
      <c r="B125" s="88">
        <f t="shared" si="23"/>
        <v>14750.460800000001</v>
      </c>
      <c r="C125" s="7">
        <f>B125*$C$117</f>
        <v>885.027648</v>
      </c>
      <c r="D125" s="7">
        <f t="shared" si="21"/>
        <v>1514.972352</v>
      </c>
      <c r="E125" s="7">
        <v>2400</v>
      </c>
      <c r="F125" s="7">
        <f t="shared" si="22"/>
        <v>13235.488448</v>
      </c>
      <c r="H125" s="6"/>
      <c r="J125" s="2"/>
      <c r="K125" s="2"/>
      <c r="L125" s="2"/>
      <c r="M125" s="2"/>
      <c r="N125" s="2">
        <v>2400</v>
      </c>
      <c r="O125" s="2"/>
      <c r="P125" s="2"/>
      <c r="Q125" s="2"/>
      <c r="R125" s="11"/>
      <c r="S125" s="11"/>
      <c r="T125" s="11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</row>
    <row r="126" spans="1:50" ht="12.75" customHeight="1">
      <c r="A126" s="227">
        <v>43714</v>
      </c>
      <c r="B126" s="88">
        <f t="shared" si="23"/>
        <v>13235.488448</v>
      </c>
      <c r="C126" s="7">
        <f t="shared" ref="C126:C132" si="24">B126*$C$117</f>
        <v>794.12930687999994</v>
      </c>
      <c r="D126" s="7">
        <f t="shared" si="21"/>
        <v>1605.8706931199999</v>
      </c>
      <c r="E126" s="7">
        <v>2400</v>
      </c>
      <c r="F126" s="7">
        <f t="shared" si="22"/>
        <v>11629.617754880001</v>
      </c>
      <c r="G126" s="6">
        <f>SUM(B130:B132)</f>
        <v>12427.495722380589</v>
      </c>
      <c r="H126">
        <f>2400*3</f>
        <v>7200</v>
      </c>
      <c r="J126" s="2"/>
      <c r="K126" s="2"/>
      <c r="L126" s="2"/>
      <c r="M126" s="2"/>
      <c r="N126" s="2"/>
      <c r="O126" s="2">
        <v>2400</v>
      </c>
      <c r="P126" s="2"/>
      <c r="Q126" s="2"/>
      <c r="R126" s="11"/>
      <c r="S126" s="11"/>
      <c r="T126" s="11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</row>
    <row r="127" spans="1:50" ht="12.75" customHeight="1">
      <c r="A127" s="227">
        <v>43744</v>
      </c>
      <c r="B127" s="88">
        <f t="shared" si="23"/>
        <v>11629.617754880001</v>
      </c>
      <c r="C127" s="7">
        <f t="shared" si="24"/>
        <v>697.77706529279999</v>
      </c>
      <c r="D127" s="7">
        <f t="shared" si="21"/>
        <v>1702.2229347072</v>
      </c>
      <c r="E127" s="7">
        <v>2400</v>
      </c>
      <c r="F127" s="7">
        <f t="shared" si="22"/>
        <v>9927.3948201727999</v>
      </c>
      <c r="G127" s="6"/>
      <c r="H127" s="2">
        <f>SUM(D130:D132)</f>
        <v>6454.3502566571642</v>
      </c>
      <c r="K127" s="2"/>
      <c r="L127" s="2"/>
      <c r="M127" s="2"/>
      <c r="N127" s="2"/>
      <c r="O127" s="2"/>
      <c r="P127" s="2">
        <v>2400</v>
      </c>
      <c r="Q127" s="2"/>
      <c r="R127" s="11"/>
      <c r="S127" s="11"/>
      <c r="T127" s="11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</row>
    <row r="128" spans="1:50" ht="12.75" customHeight="1">
      <c r="A128" s="227">
        <v>43775</v>
      </c>
      <c r="B128" s="88">
        <f t="shared" si="23"/>
        <v>9927.3948201727999</v>
      </c>
      <c r="C128" s="7">
        <f t="shared" si="24"/>
        <v>595.64368921036794</v>
      </c>
      <c r="D128" s="7">
        <f t="shared" si="21"/>
        <v>1804.3563107896321</v>
      </c>
      <c r="E128" s="7">
        <v>2400</v>
      </c>
      <c r="F128" s="7">
        <f t="shared" si="22"/>
        <v>8123.0385093831683</v>
      </c>
      <c r="G128" s="6"/>
      <c r="H128" s="2"/>
      <c r="I128" s="2"/>
      <c r="K128" s="2"/>
      <c r="L128" s="2"/>
      <c r="M128" s="2"/>
      <c r="N128" s="2"/>
      <c r="O128" s="2"/>
      <c r="P128" s="2"/>
      <c r="Q128" s="2">
        <v>2400</v>
      </c>
      <c r="R128" s="11"/>
      <c r="S128" s="11"/>
      <c r="T128" s="11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</row>
    <row r="129" spans="1:50" ht="12.75" customHeight="1">
      <c r="A129" s="226">
        <v>43805</v>
      </c>
      <c r="B129" s="88">
        <f t="shared" si="23"/>
        <v>8123.0385093831683</v>
      </c>
      <c r="C129" s="7">
        <f t="shared" si="24"/>
        <v>487.38231056299009</v>
      </c>
      <c r="D129" s="7">
        <f t="shared" si="21"/>
        <v>1912.6176894370099</v>
      </c>
      <c r="E129" s="7">
        <v>2400</v>
      </c>
      <c r="F129" s="7">
        <f t="shared" si="22"/>
        <v>6210.4208199461582</v>
      </c>
      <c r="G129" s="6"/>
      <c r="I129" s="2"/>
      <c r="J129" s="2"/>
      <c r="L129" s="2"/>
      <c r="M129" s="2"/>
      <c r="N129" s="2"/>
      <c r="O129" s="2"/>
      <c r="P129" s="2"/>
      <c r="Q129" s="2"/>
      <c r="R129" s="11">
        <v>2400</v>
      </c>
      <c r="S129" s="11"/>
      <c r="T129" s="11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</row>
    <row r="130" spans="1:50" ht="12.75" customHeight="1">
      <c r="A130" s="226">
        <v>43836</v>
      </c>
      <c r="B130" s="88">
        <f t="shared" si="23"/>
        <v>6210.4208199461582</v>
      </c>
      <c r="C130" s="7">
        <f t="shared" si="24"/>
        <v>372.62524919676946</v>
      </c>
      <c r="D130" s="7">
        <f t="shared" si="21"/>
        <v>2027.3747508032307</v>
      </c>
      <c r="E130" s="7">
        <v>2400</v>
      </c>
      <c r="F130" s="7">
        <f t="shared" si="22"/>
        <v>4183.0460691429271</v>
      </c>
      <c r="G130" s="6">
        <v>2400</v>
      </c>
      <c r="J130" s="2"/>
      <c r="K130" s="2"/>
      <c r="M130" s="2"/>
      <c r="N130" s="2"/>
      <c r="O130" s="2"/>
      <c r="P130" s="2"/>
      <c r="Q130" s="2"/>
      <c r="R130" s="11"/>
      <c r="S130" s="11"/>
      <c r="T130" s="11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</row>
    <row r="131" spans="1:50" ht="12.75" customHeight="1">
      <c r="A131" s="226">
        <v>43867</v>
      </c>
      <c r="B131" s="88">
        <f t="shared" si="23"/>
        <v>4183.0460691429271</v>
      </c>
      <c r="C131" s="7">
        <f t="shared" si="24"/>
        <v>250.98276414857563</v>
      </c>
      <c r="D131" s="7">
        <f t="shared" si="21"/>
        <v>2149.0172358514242</v>
      </c>
      <c r="E131" s="7">
        <v>2400</v>
      </c>
      <c r="F131" s="7">
        <f t="shared" si="22"/>
        <v>2034.0288332915029</v>
      </c>
      <c r="G131" s="21"/>
      <c r="H131" s="6">
        <v>2400</v>
      </c>
      <c r="I131" s="6"/>
      <c r="J131" s="6"/>
      <c r="K131" s="2"/>
      <c r="L131" s="2"/>
      <c r="N131" s="2"/>
      <c r="O131" s="2"/>
      <c r="P131" s="2"/>
      <c r="Q131" s="2"/>
      <c r="R131" s="11"/>
      <c r="S131" s="11"/>
      <c r="T131" s="11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</row>
    <row r="132" spans="1:50" ht="12.75" customHeight="1">
      <c r="A132" s="226">
        <v>43896</v>
      </c>
      <c r="B132" s="88">
        <f t="shared" si="23"/>
        <v>2034.0288332915029</v>
      </c>
      <c r="C132" s="7">
        <f t="shared" si="24"/>
        <v>122.04172999749017</v>
      </c>
      <c r="D132" s="7">
        <f t="shared" si="21"/>
        <v>2277.9582700025098</v>
      </c>
      <c r="E132" s="7">
        <v>2400</v>
      </c>
      <c r="F132" s="7">
        <f t="shared" si="22"/>
        <v>-243.92943671100693</v>
      </c>
      <c r="G132" s="21">
        <f>SUM(D125:D132)</f>
        <v>14994.390236711006</v>
      </c>
      <c r="H132" s="6"/>
      <c r="I132" s="6">
        <v>2400</v>
      </c>
      <c r="J132" s="6"/>
      <c r="K132" s="2"/>
      <c r="L132" s="2"/>
      <c r="M132" s="2"/>
      <c r="O132" s="2"/>
      <c r="P132" s="2"/>
      <c r="Q132" s="2"/>
      <c r="R132" s="11"/>
      <c r="S132" s="11"/>
      <c r="T132" s="11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</row>
    <row r="133" spans="1:50" ht="14.25">
      <c r="A133" s="975" t="s">
        <v>549</v>
      </c>
      <c r="B133" s="976"/>
      <c r="C133" s="976"/>
      <c r="D133" s="976"/>
      <c r="E133" s="976"/>
      <c r="F133" s="977"/>
      <c r="G133" s="6"/>
      <c r="J133" s="2"/>
      <c r="K133" s="2"/>
      <c r="L133" s="2"/>
      <c r="M133" s="2"/>
      <c r="N133" s="2"/>
      <c r="O133" s="2"/>
      <c r="P133" s="2"/>
      <c r="Q133" s="2"/>
      <c r="R133" s="11"/>
      <c r="S133" s="11"/>
      <c r="T133" s="11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</row>
    <row r="134" spans="1:50" ht="12.75" customHeight="1">
      <c r="A134" s="26" t="s">
        <v>564</v>
      </c>
      <c r="B134" s="26" t="s">
        <v>535</v>
      </c>
      <c r="C134" s="7" t="s">
        <v>536</v>
      </c>
      <c r="D134" s="9" t="s">
        <v>537</v>
      </c>
      <c r="E134" s="9">
        <v>33.14</v>
      </c>
      <c r="F134" s="86">
        <v>43530</v>
      </c>
      <c r="G134" s="1" t="s">
        <v>75</v>
      </c>
      <c r="H134" s="835" t="s">
        <v>76</v>
      </c>
      <c r="I134" s="835" t="s">
        <v>77</v>
      </c>
      <c r="J134" s="3" t="s">
        <v>81</v>
      </c>
      <c r="K134" s="3" t="s">
        <v>82</v>
      </c>
      <c r="L134" s="3" t="s">
        <v>83</v>
      </c>
      <c r="M134" s="3" t="s">
        <v>84</v>
      </c>
      <c r="N134" s="3" t="s">
        <v>85</v>
      </c>
      <c r="O134" s="3" t="s">
        <v>86</v>
      </c>
      <c r="P134" s="3" t="s">
        <v>87</v>
      </c>
      <c r="Q134" s="3" t="s">
        <v>88</v>
      </c>
      <c r="R134" s="23" t="s">
        <v>74</v>
      </c>
      <c r="S134" s="11"/>
      <c r="T134" s="11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</row>
    <row r="135" spans="1:50" ht="12.75" customHeight="1">
      <c r="A135" s="972" t="s">
        <v>565</v>
      </c>
      <c r="B135" s="7" t="s">
        <v>119</v>
      </c>
      <c r="C135" s="7">
        <v>32000</v>
      </c>
      <c r="D135" s="7">
        <f>(1+C136)^C137</f>
        <v>2.0121964718355518</v>
      </c>
      <c r="E135" s="7" t="s">
        <v>539</v>
      </c>
      <c r="F135" s="8">
        <f>C137*C138</f>
        <v>46200.0592821748</v>
      </c>
      <c r="G135" s="6"/>
      <c r="J135" s="2"/>
      <c r="K135" s="2"/>
      <c r="L135" s="2"/>
      <c r="M135" s="2"/>
      <c r="N135" s="2"/>
      <c r="O135" s="2"/>
      <c r="P135" s="2"/>
      <c r="Q135" s="2"/>
      <c r="R135" s="11"/>
      <c r="S135" s="11">
        <f>SUM(C135)</f>
        <v>32000</v>
      </c>
      <c r="T135" s="11">
        <f>F135</f>
        <v>46200.0592821748</v>
      </c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</row>
    <row r="136" spans="1:50" ht="12.75" customHeight="1">
      <c r="A136" s="973"/>
      <c r="B136" s="7" t="s">
        <v>540</v>
      </c>
      <c r="C136" s="14">
        <v>0.06</v>
      </c>
      <c r="D136" s="7" t="s">
        <v>558</v>
      </c>
      <c r="E136" s="9" t="s">
        <v>541</v>
      </c>
      <c r="F136" s="8">
        <f>C135*(1+C136)^C137</f>
        <v>64390.287098737659</v>
      </c>
      <c r="G136" s="6"/>
      <c r="J136" s="2"/>
      <c r="K136" s="2"/>
      <c r="L136" s="2"/>
      <c r="M136" s="2"/>
      <c r="N136" s="2"/>
      <c r="O136" s="2"/>
      <c r="P136" s="2"/>
      <c r="Q136" s="2"/>
      <c r="R136" s="11"/>
      <c r="S136" s="11"/>
      <c r="T136" s="11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</row>
    <row r="137" spans="1:50" ht="12.75" customHeight="1">
      <c r="A137" s="973"/>
      <c r="B137" s="7" t="s">
        <v>542</v>
      </c>
      <c r="C137" s="9">
        <v>12</v>
      </c>
      <c r="D137" s="89">
        <v>559.07000000000005</v>
      </c>
      <c r="E137" s="90" t="s">
        <v>543</v>
      </c>
      <c r="F137" s="43">
        <f>SUM(C140:C151)</f>
        <v>13640.989430897687</v>
      </c>
      <c r="G137" s="6"/>
      <c r="J137" s="2"/>
      <c r="K137" s="2"/>
      <c r="L137" s="2"/>
      <c r="M137" s="2"/>
      <c r="N137" s="2"/>
      <c r="O137" s="2"/>
      <c r="P137" s="2"/>
      <c r="Q137" s="2"/>
      <c r="R137" s="11"/>
      <c r="S137" s="11"/>
      <c r="T137" s="11"/>
      <c r="U137" s="2">
        <f>F137</f>
        <v>13640.989430897687</v>
      </c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</row>
    <row r="138" spans="1:50" ht="12.75" customHeight="1">
      <c r="A138" s="974"/>
      <c r="B138" s="7" t="s">
        <v>545</v>
      </c>
      <c r="C138" s="7">
        <f>C135*((C136*D135)/(D135-1))+E134</f>
        <v>3850.0049401812335</v>
      </c>
      <c r="D138" s="45"/>
      <c r="E138" s="7" t="s">
        <v>89</v>
      </c>
      <c r="F138" s="45">
        <f>SUM(G140:R151)</f>
        <v>42350.054341993578</v>
      </c>
      <c r="G138" s="6"/>
      <c r="J138" s="2"/>
      <c r="K138" s="2"/>
      <c r="L138" s="2"/>
      <c r="M138" s="2"/>
      <c r="N138" s="2"/>
      <c r="O138" s="2"/>
      <c r="P138" s="2"/>
      <c r="Q138" s="2"/>
      <c r="R138" s="11"/>
      <c r="S138" s="11"/>
      <c r="T138" s="11"/>
      <c r="V138" s="2">
        <f>F138</f>
        <v>42350.054341993578</v>
      </c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</row>
    <row r="139" spans="1:50" ht="12.75" customHeight="1">
      <c r="A139" s="26" t="s">
        <v>545</v>
      </c>
      <c r="B139" s="7" t="s">
        <v>559</v>
      </c>
      <c r="C139" s="9" t="s">
        <v>547</v>
      </c>
      <c r="D139" s="44" t="s">
        <v>548</v>
      </c>
      <c r="E139" s="9" t="s">
        <v>560</v>
      </c>
      <c r="F139" s="44" t="s">
        <v>486</v>
      </c>
      <c r="G139" s="6"/>
      <c r="J139" s="2"/>
      <c r="K139" s="2"/>
      <c r="L139" s="2"/>
      <c r="M139" s="2"/>
      <c r="N139" s="2"/>
      <c r="O139" s="2"/>
      <c r="P139" s="2"/>
      <c r="Q139" s="2"/>
      <c r="R139" s="11"/>
      <c r="S139" s="11"/>
      <c r="T139" s="11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</row>
    <row r="140" spans="1:50" ht="12.75" customHeight="1">
      <c r="A140" s="24">
        <v>1</v>
      </c>
      <c r="B140" s="88">
        <f>C135</f>
        <v>32000</v>
      </c>
      <c r="C140" s="7">
        <f>B140*$C$136</f>
        <v>1920</v>
      </c>
      <c r="D140" s="7">
        <f>C138-C140</f>
        <v>1930.0049401812335</v>
      </c>
      <c r="E140" s="183">
        <f>C140+D140</f>
        <v>3850.0049401812335</v>
      </c>
      <c r="F140" s="7">
        <f>B140-D140</f>
        <v>30069.995059818768</v>
      </c>
      <c r="G140" s="6"/>
      <c r="J140" s="2"/>
      <c r="K140" s="2"/>
      <c r="L140" s="2"/>
      <c r="M140" s="2"/>
      <c r="N140" s="2"/>
      <c r="P140" s="2"/>
      <c r="Q140" s="2"/>
      <c r="R140" s="11"/>
      <c r="S140" s="11"/>
      <c r="T140" s="11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</row>
    <row r="141" spans="1:50" ht="12.75" customHeight="1">
      <c r="A141" s="24">
        <v>2</v>
      </c>
      <c r="B141" s="88">
        <f t="shared" ref="B141:B151" si="25">F140</f>
        <v>30069.995059818768</v>
      </c>
      <c r="C141" s="7">
        <f t="shared" ref="C141:C145" si="26">B141*$C$136</f>
        <v>1804.1997035891261</v>
      </c>
      <c r="D141" s="7">
        <f>C138-C141</f>
        <v>2045.8052365921073</v>
      </c>
      <c r="E141" s="7">
        <f t="shared" ref="E141:E151" si="27">C141+D141</f>
        <v>3850.0049401812335</v>
      </c>
      <c r="F141" s="7">
        <f t="shared" ref="F141:F150" si="28">B141-D141</f>
        <v>28024.189823226661</v>
      </c>
      <c r="G141" s="6"/>
      <c r="J141" s="2"/>
      <c r="K141" s="2">
        <f>E141</f>
        <v>3850.0049401812335</v>
      </c>
      <c r="L141" s="2"/>
      <c r="M141" s="2"/>
      <c r="N141" s="2"/>
      <c r="O141" s="2"/>
      <c r="Q141" s="2"/>
      <c r="R141" s="11"/>
      <c r="S141" s="11"/>
      <c r="T141" s="11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</row>
    <row r="142" spans="1:50" ht="12.75" customHeight="1">
      <c r="A142" s="24">
        <v>3</v>
      </c>
      <c r="B142" s="88">
        <f t="shared" si="25"/>
        <v>28024.189823226661</v>
      </c>
      <c r="C142" s="7">
        <f t="shared" si="26"/>
        <v>1681.4513893935996</v>
      </c>
      <c r="D142" s="7">
        <f t="shared" ref="D142:D151" si="29">E141-C142</f>
        <v>2168.5535507876339</v>
      </c>
      <c r="E142" s="7">
        <f t="shared" si="27"/>
        <v>3850.0049401812335</v>
      </c>
      <c r="F142" s="7">
        <f t="shared" si="28"/>
        <v>25855.636272439027</v>
      </c>
      <c r="G142" s="6"/>
      <c r="J142" s="2"/>
      <c r="K142" s="2"/>
      <c r="L142" s="2">
        <f>E142</f>
        <v>3850.0049401812335</v>
      </c>
      <c r="M142" s="2"/>
      <c r="N142" s="2"/>
      <c r="O142" s="2"/>
      <c r="P142" s="2"/>
      <c r="R142" s="2"/>
      <c r="S142" s="11"/>
      <c r="T142" s="11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</row>
    <row r="143" spans="1:50" ht="12.75" customHeight="1">
      <c r="A143" s="24">
        <v>4</v>
      </c>
      <c r="B143" s="88">
        <f t="shared" si="25"/>
        <v>25855.636272439027</v>
      </c>
      <c r="C143" s="7">
        <f t="shared" si="26"/>
        <v>1551.3381763463417</v>
      </c>
      <c r="D143" s="7">
        <f t="shared" si="29"/>
        <v>2298.6667638348918</v>
      </c>
      <c r="E143" s="7">
        <f t="shared" si="27"/>
        <v>3850.0049401812335</v>
      </c>
      <c r="F143" s="7">
        <f t="shared" si="28"/>
        <v>23556.969508604136</v>
      </c>
      <c r="G143" s="11"/>
      <c r="J143" s="2"/>
      <c r="K143" s="2"/>
      <c r="L143" s="2"/>
      <c r="M143" s="2">
        <f>E143</f>
        <v>3850.0049401812335</v>
      </c>
      <c r="N143" s="2"/>
      <c r="O143" s="2"/>
      <c r="P143" s="2"/>
      <c r="Q143" s="2"/>
      <c r="S143" s="11"/>
      <c r="T143" s="11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</row>
    <row r="144" spans="1:50" ht="12.75" customHeight="1">
      <c r="A144" s="24">
        <v>5</v>
      </c>
      <c r="B144" s="88">
        <f t="shared" si="25"/>
        <v>23556.969508604136</v>
      </c>
      <c r="C144" s="7">
        <f t="shared" si="26"/>
        <v>1413.418170516248</v>
      </c>
      <c r="D144" s="7">
        <f t="shared" si="29"/>
        <v>2436.5867696649857</v>
      </c>
      <c r="E144" s="7">
        <f t="shared" si="27"/>
        <v>3850.0049401812339</v>
      </c>
      <c r="F144" s="7">
        <f t="shared" si="28"/>
        <v>21120.382738939152</v>
      </c>
      <c r="H144" s="6"/>
      <c r="J144" s="2"/>
      <c r="K144" s="2"/>
      <c r="L144" s="2"/>
      <c r="M144" s="2"/>
      <c r="N144" s="2">
        <f>E144</f>
        <v>3850.0049401812339</v>
      </c>
      <c r="O144" s="2"/>
      <c r="P144" s="2"/>
      <c r="Q144" s="2"/>
      <c r="R144" s="11"/>
      <c r="S144" s="11"/>
      <c r="T144" s="11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</row>
    <row r="145" spans="1:50" ht="12.75" customHeight="1">
      <c r="A145" s="24">
        <v>6</v>
      </c>
      <c r="B145" s="88">
        <f t="shared" si="25"/>
        <v>21120.382738939152</v>
      </c>
      <c r="C145" s="7">
        <f t="shared" si="26"/>
        <v>1267.2229643363492</v>
      </c>
      <c r="D145" s="7">
        <f t="shared" si="29"/>
        <v>2582.781975844885</v>
      </c>
      <c r="E145" s="7">
        <f t="shared" si="27"/>
        <v>3850.0049401812339</v>
      </c>
      <c r="F145" s="7">
        <f t="shared" si="28"/>
        <v>18537.600763094266</v>
      </c>
      <c r="G145" s="6"/>
      <c r="J145" s="2"/>
      <c r="K145" s="2"/>
      <c r="L145" s="2"/>
      <c r="M145" s="2"/>
      <c r="N145" s="2"/>
      <c r="O145" s="2">
        <f>E145</f>
        <v>3850.0049401812339</v>
      </c>
      <c r="P145" s="2"/>
      <c r="Q145" s="2"/>
      <c r="R145" s="11"/>
      <c r="S145" s="11"/>
      <c r="T145" s="11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</row>
    <row r="146" spans="1:50" ht="12.75" customHeight="1">
      <c r="A146" s="24">
        <v>7</v>
      </c>
      <c r="B146" s="88">
        <f t="shared" si="25"/>
        <v>18537.600763094266</v>
      </c>
      <c r="C146" s="7">
        <f t="shared" ref="C146:C151" si="30">B146*$C$136</f>
        <v>1112.2560457856559</v>
      </c>
      <c r="D146" s="7">
        <f t="shared" si="29"/>
        <v>2737.7488943955777</v>
      </c>
      <c r="E146" s="7">
        <f t="shared" si="27"/>
        <v>3850.0049401812339</v>
      </c>
      <c r="F146" s="7">
        <f t="shared" si="28"/>
        <v>15799.851868698688</v>
      </c>
      <c r="G146" s="6"/>
      <c r="H146" s="2"/>
      <c r="K146" s="2"/>
      <c r="L146" s="2"/>
      <c r="M146" s="2"/>
      <c r="N146" s="2"/>
      <c r="O146" s="2"/>
      <c r="P146" s="2">
        <f>E146</f>
        <v>3850.0049401812339</v>
      </c>
      <c r="Q146" s="2"/>
      <c r="R146" s="11"/>
      <c r="S146" s="11"/>
      <c r="T146" s="11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</row>
    <row r="147" spans="1:50" ht="12.75" customHeight="1">
      <c r="A147" s="24">
        <v>8</v>
      </c>
      <c r="B147" s="88">
        <f t="shared" si="25"/>
        <v>15799.851868698688</v>
      </c>
      <c r="C147" s="7">
        <f t="shared" si="30"/>
        <v>947.99111212192122</v>
      </c>
      <c r="D147" s="7">
        <f t="shared" si="29"/>
        <v>2902.0138280593128</v>
      </c>
      <c r="E147" s="7">
        <f t="shared" si="27"/>
        <v>3850.0049401812339</v>
      </c>
      <c r="F147" s="7">
        <f t="shared" si="28"/>
        <v>12897.838040639375</v>
      </c>
      <c r="G147" s="6"/>
      <c r="H147" s="2"/>
      <c r="I147" s="2"/>
      <c r="K147" s="2"/>
      <c r="L147" s="2"/>
      <c r="M147" s="2"/>
      <c r="N147" s="2"/>
      <c r="O147" s="2"/>
      <c r="P147" s="2"/>
      <c r="Q147" s="2">
        <f>E147</f>
        <v>3850.0049401812339</v>
      </c>
      <c r="R147" s="11"/>
      <c r="S147" s="11"/>
      <c r="T147" s="11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</row>
    <row r="148" spans="1:50" ht="12.75" customHeight="1">
      <c r="A148" s="24">
        <v>9</v>
      </c>
      <c r="B148" s="88">
        <f t="shared" si="25"/>
        <v>12897.838040639375</v>
      </c>
      <c r="C148" s="7">
        <f t="shared" si="30"/>
        <v>773.87028243836244</v>
      </c>
      <c r="D148" s="7">
        <f t="shared" si="29"/>
        <v>3076.1346577428712</v>
      </c>
      <c r="E148" s="7">
        <f t="shared" si="27"/>
        <v>3850.0049401812339</v>
      </c>
      <c r="F148" s="7">
        <f t="shared" si="28"/>
        <v>9821.7033828965032</v>
      </c>
      <c r="G148" s="6"/>
      <c r="I148" s="2"/>
      <c r="J148" s="2"/>
      <c r="L148" s="2"/>
      <c r="M148" s="2"/>
      <c r="N148" s="2"/>
      <c r="O148" s="2"/>
      <c r="P148" s="2"/>
      <c r="Q148" s="2"/>
      <c r="R148" s="11">
        <f>E148</f>
        <v>3850.0049401812339</v>
      </c>
      <c r="S148" s="11"/>
      <c r="T148" s="11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</row>
    <row r="149" spans="1:50" ht="12.75" customHeight="1">
      <c r="A149" s="24">
        <v>10</v>
      </c>
      <c r="B149" s="88">
        <f t="shared" si="25"/>
        <v>9821.7033828965032</v>
      </c>
      <c r="C149" s="7">
        <f t="shared" si="30"/>
        <v>589.30220297379014</v>
      </c>
      <c r="D149" s="7">
        <f t="shared" si="29"/>
        <v>3260.7027372074435</v>
      </c>
      <c r="E149" s="7">
        <f t="shared" si="27"/>
        <v>3850.0049401812339</v>
      </c>
      <c r="F149" s="7">
        <f t="shared" si="28"/>
        <v>6561.0006456890596</v>
      </c>
      <c r="G149" s="6">
        <f>E149</f>
        <v>3850.0049401812339</v>
      </c>
      <c r="J149" s="2"/>
      <c r="K149" s="2"/>
      <c r="M149" s="2"/>
      <c r="N149" s="2"/>
      <c r="O149" s="2"/>
      <c r="P149" s="2"/>
      <c r="Q149" s="2"/>
      <c r="R149" s="11"/>
      <c r="S149" s="11"/>
      <c r="T149" s="11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</row>
    <row r="150" spans="1:50" ht="12.75" customHeight="1">
      <c r="A150" s="22">
        <v>11</v>
      </c>
      <c r="B150" s="88">
        <f t="shared" si="25"/>
        <v>6561.0006456890596</v>
      </c>
      <c r="C150" s="7">
        <f t="shared" si="30"/>
        <v>393.66003874134356</v>
      </c>
      <c r="D150" s="7">
        <f t="shared" si="29"/>
        <v>3456.3449014398902</v>
      </c>
      <c r="E150" s="7">
        <f t="shared" si="27"/>
        <v>3850.0049401812339</v>
      </c>
      <c r="F150" s="7">
        <f t="shared" si="28"/>
        <v>3104.6557442491694</v>
      </c>
      <c r="G150" s="21"/>
      <c r="H150" s="2">
        <f>E150</f>
        <v>3850.0049401812339</v>
      </c>
      <c r="J150" s="2"/>
      <c r="K150" s="2"/>
      <c r="L150" s="2"/>
      <c r="N150" s="2"/>
      <c r="O150" s="2"/>
      <c r="P150" s="2"/>
      <c r="Q150" s="2"/>
      <c r="R150" s="11"/>
      <c r="S150" s="11"/>
      <c r="T150" s="11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</row>
    <row r="151" spans="1:50" ht="12.75" customHeight="1">
      <c r="A151" s="22">
        <v>12</v>
      </c>
      <c r="B151" s="88">
        <f t="shared" si="25"/>
        <v>3104.6557442491694</v>
      </c>
      <c r="C151" s="7">
        <f t="shared" si="30"/>
        <v>186.27934465495017</v>
      </c>
      <c r="D151" s="7">
        <f t="shared" si="29"/>
        <v>3663.7255955262835</v>
      </c>
      <c r="E151" s="7">
        <f t="shared" si="27"/>
        <v>3850.0049401812339</v>
      </c>
      <c r="F151" s="7">
        <f>B151-D151+D137</f>
        <v>1.4872288591050165E-4</v>
      </c>
      <c r="G151" s="21"/>
      <c r="H151" s="40"/>
      <c r="I151" s="2">
        <f>E151</f>
        <v>3850.0049401812339</v>
      </c>
      <c r="J151" s="2"/>
      <c r="K151" s="2"/>
      <c r="L151" s="2"/>
      <c r="M151" s="2"/>
      <c r="O151" s="2"/>
      <c r="P151" s="2"/>
      <c r="Q151" s="2"/>
      <c r="R151" s="11"/>
      <c r="S151" s="11"/>
      <c r="T151" s="11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</row>
    <row r="152" spans="1:50" ht="14.25">
      <c r="A152" s="975" t="s">
        <v>549</v>
      </c>
      <c r="B152" s="976"/>
      <c r="C152" s="976"/>
      <c r="D152" s="976"/>
      <c r="E152" s="976"/>
      <c r="F152" s="977"/>
      <c r="G152" s="6"/>
      <c r="J152" s="2"/>
      <c r="K152" s="2"/>
      <c r="L152" s="2"/>
      <c r="M152" s="2"/>
      <c r="N152" s="2"/>
      <c r="O152" s="2"/>
      <c r="P152" s="2"/>
      <c r="Q152" s="2"/>
      <c r="R152" s="11"/>
      <c r="S152" s="11"/>
      <c r="T152" s="11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</row>
    <row r="153" spans="1:50" ht="12.75" customHeight="1">
      <c r="A153" s="26" t="s">
        <v>566</v>
      </c>
      <c r="B153" s="26" t="s">
        <v>535</v>
      </c>
      <c r="C153" s="7" t="s">
        <v>536</v>
      </c>
      <c r="D153" s="9" t="s">
        <v>537</v>
      </c>
      <c r="E153" s="9">
        <v>18.68</v>
      </c>
      <c r="F153" s="86">
        <v>43536</v>
      </c>
      <c r="G153" s="1" t="s">
        <v>75</v>
      </c>
      <c r="H153" s="835" t="s">
        <v>76</v>
      </c>
      <c r="I153" s="835" t="s">
        <v>77</v>
      </c>
      <c r="J153" s="3" t="s">
        <v>81</v>
      </c>
      <c r="K153" s="3" t="s">
        <v>82</v>
      </c>
      <c r="L153" s="3" t="s">
        <v>83</v>
      </c>
      <c r="M153" s="3" t="s">
        <v>84</v>
      </c>
      <c r="N153" s="3" t="s">
        <v>85</v>
      </c>
      <c r="O153" s="3" t="s">
        <v>86</v>
      </c>
      <c r="P153" s="3" t="s">
        <v>87</v>
      </c>
      <c r="Q153" s="3" t="s">
        <v>88</v>
      </c>
      <c r="R153" s="23" t="s">
        <v>74</v>
      </c>
      <c r="S153" s="11" t="s">
        <v>567</v>
      </c>
      <c r="T153" s="11" t="s">
        <v>568</v>
      </c>
      <c r="U153" t="s">
        <v>543</v>
      </c>
      <c r="V153" t="s">
        <v>89</v>
      </c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</row>
    <row r="154" spans="1:50" ht="12.75" customHeight="1">
      <c r="A154" s="972" t="s">
        <v>569</v>
      </c>
      <c r="B154" s="7" t="s">
        <v>119</v>
      </c>
      <c r="C154" s="7">
        <v>12000</v>
      </c>
      <c r="D154" s="7">
        <f>(1+C155)^C156</f>
        <v>2.0121964718355518</v>
      </c>
      <c r="E154" s="7" t="s">
        <v>539</v>
      </c>
      <c r="F154" s="8">
        <f>C156*C157</f>
        <v>17400.052230815549</v>
      </c>
      <c r="G154" s="6"/>
      <c r="J154" s="2"/>
      <c r="K154" s="2"/>
      <c r="L154" s="2"/>
      <c r="M154" s="2"/>
      <c r="N154" s="2"/>
      <c r="O154" s="2"/>
      <c r="P154" s="2"/>
      <c r="Q154" s="2"/>
      <c r="R154" s="11"/>
      <c r="S154" s="11">
        <f>SUM(C154)</f>
        <v>12000</v>
      </c>
      <c r="T154" s="11">
        <f>F154</f>
        <v>17400.052230815549</v>
      </c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</row>
    <row r="155" spans="1:50" ht="12.75" customHeight="1">
      <c r="A155" s="973"/>
      <c r="B155" s="7" t="s">
        <v>540</v>
      </c>
      <c r="C155" s="14">
        <v>0.06</v>
      </c>
      <c r="D155" s="7" t="s">
        <v>558</v>
      </c>
      <c r="E155" s="9" t="s">
        <v>541</v>
      </c>
      <c r="F155" s="8">
        <f>C154*(1+C155)^C156</f>
        <v>24146.357662026621</v>
      </c>
      <c r="G155" s="6"/>
      <c r="J155" s="2"/>
      <c r="K155" s="2"/>
      <c r="L155" s="2"/>
      <c r="M155" s="2"/>
      <c r="N155" s="2"/>
      <c r="O155" s="2"/>
      <c r="P155" s="2"/>
      <c r="Q155" s="2"/>
      <c r="R155" s="11"/>
      <c r="S155" s="11"/>
      <c r="T155" s="11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</row>
    <row r="156" spans="1:50" ht="12.75" customHeight="1">
      <c r="A156" s="973"/>
      <c r="B156" s="7" t="s">
        <v>542</v>
      </c>
      <c r="C156" s="9">
        <v>12</v>
      </c>
      <c r="D156" s="89">
        <v>315.13</v>
      </c>
      <c r="E156" s="90" t="s">
        <v>543</v>
      </c>
      <c r="F156" s="43">
        <f>SUM(C159:C170)</f>
        <v>5084.9217292507683</v>
      </c>
      <c r="G156" s="6"/>
      <c r="J156" s="2"/>
      <c r="K156" s="2"/>
      <c r="L156" s="2"/>
      <c r="M156" s="2"/>
      <c r="N156" s="2"/>
      <c r="O156" s="2"/>
      <c r="P156" s="2"/>
      <c r="Q156" s="2"/>
      <c r="R156" s="11"/>
      <c r="S156" s="11"/>
      <c r="T156" s="11"/>
      <c r="U156" s="2">
        <f>F156</f>
        <v>5084.9217292507683</v>
      </c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</row>
    <row r="157" spans="1:50" ht="12.75" customHeight="1">
      <c r="A157" s="974"/>
      <c r="B157" s="7" t="s">
        <v>545</v>
      </c>
      <c r="C157" s="7">
        <f>C154*((C155*D154)/(D154-1))+E153</f>
        <v>1450.0043525679625</v>
      </c>
      <c r="D157" s="92">
        <f>C155*12*100</f>
        <v>72</v>
      </c>
      <c r="E157" s="7" t="s">
        <v>89</v>
      </c>
      <c r="F157" s="45">
        <f>SUM(G159:R170)</f>
        <v>17400.052230815552</v>
      </c>
      <c r="G157" s="6"/>
      <c r="J157" s="2"/>
      <c r="K157" s="2"/>
      <c r="L157" s="2"/>
      <c r="M157" s="2"/>
      <c r="N157" s="2"/>
      <c r="O157" s="2"/>
      <c r="P157" s="2"/>
      <c r="Q157" s="2"/>
      <c r="R157" s="11"/>
      <c r="S157" s="11"/>
      <c r="T157" s="11"/>
      <c r="V157" s="2">
        <f>F157</f>
        <v>17400.052230815552</v>
      </c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</row>
    <row r="158" spans="1:50" ht="12.75" customHeight="1">
      <c r="A158" s="26" t="s">
        <v>545</v>
      </c>
      <c r="B158" s="7" t="s">
        <v>559</v>
      </c>
      <c r="C158" s="9" t="s">
        <v>547</v>
      </c>
      <c r="D158" s="44" t="s">
        <v>548</v>
      </c>
      <c r="E158" s="9" t="s">
        <v>560</v>
      </c>
      <c r="F158" s="44" t="s">
        <v>486</v>
      </c>
      <c r="G158" s="6"/>
      <c r="J158" s="2"/>
      <c r="K158" s="2"/>
      <c r="L158" s="2"/>
      <c r="M158" s="2"/>
      <c r="N158" s="2"/>
      <c r="O158" s="2"/>
      <c r="P158" s="2"/>
      <c r="Q158" s="2"/>
      <c r="R158" s="11"/>
      <c r="S158" s="11"/>
      <c r="T158" s="11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</row>
    <row r="159" spans="1:50" ht="12.75" customHeight="1">
      <c r="A159" s="24">
        <v>1</v>
      </c>
      <c r="B159" s="88">
        <f>C154</f>
        <v>12000</v>
      </c>
      <c r="C159" s="7">
        <f t="shared" ref="C159:C164" si="31">B159*$C$136</f>
        <v>720</v>
      </c>
      <c r="D159" s="7">
        <f>C157-C159</f>
        <v>730.00435256796254</v>
      </c>
      <c r="E159" s="7">
        <f>C159+D159</f>
        <v>1450.0043525679625</v>
      </c>
      <c r="F159" s="7">
        <f>B159-D159</f>
        <v>11269.995647432037</v>
      </c>
      <c r="G159" s="6"/>
      <c r="J159" s="2">
        <f>E159</f>
        <v>1450.0043525679625</v>
      </c>
      <c r="K159" s="2"/>
      <c r="L159" s="2"/>
      <c r="M159" s="2"/>
      <c r="N159" s="2"/>
      <c r="P159" s="2"/>
      <c r="Q159" s="2"/>
      <c r="R159" s="11"/>
      <c r="S159" s="11"/>
      <c r="T159" s="11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</row>
    <row r="160" spans="1:50" ht="12.75" customHeight="1">
      <c r="A160" s="24">
        <v>2</v>
      </c>
      <c r="B160" s="88">
        <f t="shared" ref="B160:B170" si="32">F159</f>
        <v>11269.995647432037</v>
      </c>
      <c r="C160" s="7">
        <f t="shared" si="31"/>
        <v>676.19973884592218</v>
      </c>
      <c r="D160" s="7">
        <f>C157-C160</f>
        <v>773.80461372204036</v>
      </c>
      <c r="E160" s="7">
        <f t="shared" ref="E160:E170" si="33">C160+D160</f>
        <v>1450.0043525679625</v>
      </c>
      <c r="F160" s="7">
        <f t="shared" ref="F160:F169" si="34">B160-D160</f>
        <v>10496.191033709996</v>
      </c>
      <c r="G160" s="6"/>
      <c r="J160" s="2"/>
      <c r="K160" s="2">
        <f>E160</f>
        <v>1450.0043525679625</v>
      </c>
      <c r="L160" s="2"/>
      <c r="M160" s="2"/>
      <c r="N160" s="2"/>
      <c r="O160" s="2"/>
      <c r="Q160" s="2"/>
      <c r="R160" s="11"/>
      <c r="S160" s="11"/>
      <c r="T160" s="11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</row>
    <row r="161" spans="1:50" ht="12.75" customHeight="1">
      <c r="A161" s="24">
        <v>3</v>
      </c>
      <c r="B161" s="88">
        <f t="shared" si="32"/>
        <v>10496.191033709996</v>
      </c>
      <c r="C161" s="7">
        <f t="shared" si="31"/>
        <v>629.77146202259974</v>
      </c>
      <c r="D161" s="7">
        <f t="shared" ref="D161:D170" si="35">E160-C161</f>
        <v>820.23289054536281</v>
      </c>
      <c r="E161" s="7">
        <f t="shared" si="33"/>
        <v>1450.0043525679625</v>
      </c>
      <c r="F161" s="7">
        <f t="shared" si="34"/>
        <v>9675.9581431646329</v>
      </c>
      <c r="G161" s="6"/>
      <c r="J161" s="2"/>
      <c r="K161" s="2"/>
      <c r="L161" s="2">
        <f>E161</f>
        <v>1450.0043525679625</v>
      </c>
      <c r="M161" s="2"/>
      <c r="N161" s="2"/>
      <c r="O161" s="2"/>
      <c r="P161" s="2"/>
      <c r="R161" s="2"/>
      <c r="S161" s="11"/>
      <c r="T161" s="11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</row>
    <row r="162" spans="1:50" ht="12.75" customHeight="1">
      <c r="A162" s="24">
        <v>4</v>
      </c>
      <c r="B162" s="88">
        <f t="shared" si="32"/>
        <v>9675.9581431646329</v>
      </c>
      <c r="C162" s="7">
        <f t="shared" si="31"/>
        <v>580.55748858987795</v>
      </c>
      <c r="D162" s="7">
        <f t="shared" si="35"/>
        <v>869.44686397808459</v>
      </c>
      <c r="E162" s="7">
        <f t="shared" si="33"/>
        <v>1450.0043525679625</v>
      </c>
      <c r="F162" s="7">
        <f t="shared" si="34"/>
        <v>8806.5112791865486</v>
      </c>
      <c r="G162" s="11"/>
      <c r="J162" s="2"/>
      <c r="K162" s="2"/>
      <c r="L162" s="2"/>
      <c r="M162" s="2">
        <f>E162</f>
        <v>1450.0043525679625</v>
      </c>
      <c r="N162" s="2"/>
      <c r="O162" s="2"/>
      <c r="P162" s="2"/>
      <c r="Q162" s="2"/>
      <c r="S162" s="11"/>
      <c r="T162" s="11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</row>
    <row r="163" spans="1:50" ht="12.75" customHeight="1">
      <c r="A163" s="24">
        <v>5</v>
      </c>
      <c r="B163" s="88">
        <f t="shared" si="32"/>
        <v>8806.5112791865486</v>
      </c>
      <c r="C163" s="7">
        <f t="shared" si="31"/>
        <v>528.39067675119293</v>
      </c>
      <c r="D163" s="7">
        <f t="shared" si="35"/>
        <v>921.61367581676961</v>
      </c>
      <c r="E163" s="7">
        <f t="shared" si="33"/>
        <v>1450.0043525679625</v>
      </c>
      <c r="F163" s="7">
        <f t="shared" si="34"/>
        <v>7884.8976033697791</v>
      </c>
      <c r="H163" s="6"/>
      <c r="J163" s="2"/>
      <c r="K163" s="2"/>
      <c r="L163" s="2"/>
      <c r="M163" s="2"/>
      <c r="N163" s="2">
        <f>E163</f>
        <v>1450.0043525679625</v>
      </c>
      <c r="O163" s="2"/>
      <c r="P163" s="2"/>
      <c r="Q163" s="2"/>
      <c r="R163" s="11"/>
      <c r="S163" s="11"/>
      <c r="T163" s="11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</row>
    <row r="164" spans="1:50" ht="12.75" customHeight="1">
      <c r="A164" s="24">
        <v>6</v>
      </c>
      <c r="B164" s="88">
        <f t="shared" si="32"/>
        <v>7884.8976033697791</v>
      </c>
      <c r="C164" s="7">
        <f t="shared" si="31"/>
        <v>473.09385620218671</v>
      </c>
      <c r="D164" s="7">
        <f t="shared" si="35"/>
        <v>976.91049636577577</v>
      </c>
      <c r="E164" s="7">
        <f t="shared" si="33"/>
        <v>1450.0043525679625</v>
      </c>
      <c r="F164" s="7">
        <f t="shared" si="34"/>
        <v>6907.9871070040035</v>
      </c>
      <c r="G164" s="6"/>
      <c r="J164" s="2"/>
      <c r="K164" s="2"/>
      <c r="L164" s="2"/>
      <c r="M164" s="2"/>
      <c r="N164" s="2"/>
      <c r="O164" s="2">
        <f>E164</f>
        <v>1450.0043525679625</v>
      </c>
      <c r="P164" s="2"/>
      <c r="Q164" s="2"/>
      <c r="R164" s="11"/>
      <c r="S164" s="11"/>
      <c r="T164" s="11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</row>
    <row r="165" spans="1:50" ht="12.75" customHeight="1">
      <c r="A165" s="24">
        <v>7</v>
      </c>
      <c r="B165" s="88">
        <f t="shared" si="32"/>
        <v>6907.9871070040035</v>
      </c>
      <c r="C165" s="7">
        <f t="shared" ref="C165:C170" si="36">B165*$C$136</f>
        <v>414.4792264202402</v>
      </c>
      <c r="D165" s="7">
        <f t="shared" si="35"/>
        <v>1035.5251261477224</v>
      </c>
      <c r="E165" s="7">
        <f t="shared" si="33"/>
        <v>1450.0043525679625</v>
      </c>
      <c r="F165" s="7">
        <f t="shared" si="34"/>
        <v>5872.4619808562811</v>
      </c>
      <c r="G165" s="6"/>
      <c r="H165" s="2"/>
      <c r="K165" s="2"/>
      <c r="L165" s="2"/>
      <c r="M165" s="2"/>
      <c r="N165" s="2"/>
      <c r="O165" s="2"/>
      <c r="P165" s="2">
        <f>E165</f>
        <v>1450.0043525679625</v>
      </c>
      <c r="Q165" s="2"/>
      <c r="R165" s="11"/>
      <c r="S165" s="11"/>
      <c r="T165" s="11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</row>
    <row r="166" spans="1:50" ht="12.75" customHeight="1">
      <c r="A166" s="24">
        <v>8</v>
      </c>
      <c r="B166" s="88">
        <f t="shared" si="32"/>
        <v>5872.4619808562811</v>
      </c>
      <c r="C166" s="7">
        <f t="shared" si="36"/>
        <v>352.34771885137684</v>
      </c>
      <c r="D166" s="7">
        <f t="shared" si="35"/>
        <v>1097.6566337165857</v>
      </c>
      <c r="E166" s="7">
        <f t="shared" si="33"/>
        <v>1450.0043525679625</v>
      </c>
      <c r="F166" s="7">
        <f t="shared" si="34"/>
        <v>4774.8053471396952</v>
      </c>
      <c r="G166" s="6"/>
      <c r="H166" s="2"/>
      <c r="I166" s="2"/>
      <c r="K166" s="2"/>
      <c r="L166" s="2"/>
      <c r="M166" s="2"/>
      <c r="N166" s="2"/>
      <c r="O166" s="2"/>
      <c r="P166" s="2"/>
      <c r="Q166" s="2">
        <f>E166</f>
        <v>1450.0043525679625</v>
      </c>
      <c r="R166" s="11"/>
      <c r="S166" s="11"/>
      <c r="T166" s="11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</row>
    <row r="167" spans="1:50" ht="12.75" customHeight="1">
      <c r="A167" s="24">
        <v>9</v>
      </c>
      <c r="B167" s="88">
        <f t="shared" si="32"/>
        <v>4774.8053471396952</v>
      </c>
      <c r="C167" s="7">
        <f t="shared" si="36"/>
        <v>286.48832082838169</v>
      </c>
      <c r="D167" s="7">
        <f t="shared" si="35"/>
        <v>1163.5160317395807</v>
      </c>
      <c r="E167" s="7">
        <f t="shared" si="33"/>
        <v>1450.0043525679625</v>
      </c>
      <c r="F167" s="7">
        <f t="shared" si="34"/>
        <v>3611.2893154001144</v>
      </c>
      <c r="G167" s="6"/>
      <c r="I167" s="2"/>
      <c r="J167" s="2"/>
      <c r="L167" s="2"/>
      <c r="M167" s="2"/>
      <c r="N167" s="2"/>
      <c r="O167" s="2"/>
      <c r="P167" s="2"/>
      <c r="Q167" s="2"/>
      <c r="R167" s="11">
        <f>E167</f>
        <v>1450.0043525679625</v>
      </c>
      <c r="S167" s="11"/>
      <c r="T167" s="11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</row>
    <row r="168" spans="1:50" ht="12.75" customHeight="1">
      <c r="A168" s="24">
        <v>10</v>
      </c>
      <c r="B168" s="88">
        <f t="shared" si="32"/>
        <v>3611.2893154001144</v>
      </c>
      <c r="C168" s="7">
        <f t="shared" si="36"/>
        <v>216.67735892400685</v>
      </c>
      <c r="D168" s="7">
        <f t="shared" si="35"/>
        <v>1233.3269936439556</v>
      </c>
      <c r="E168" s="7">
        <f t="shared" si="33"/>
        <v>1450.0043525679625</v>
      </c>
      <c r="F168" s="7">
        <f t="shared" si="34"/>
        <v>2377.9623217561589</v>
      </c>
      <c r="G168" s="6">
        <f>E168</f>
        <v>1450.0043525679625</v>
      </c>
      <c r="J168" s="2"/>
      <c r="K168" s="2"/>
      <c r="M168" s="2"/>
      <c r="N168" s="2"/>
      <c r="O168" s="2"/>
      <c r="P168" s="2"/>
      <c r="Q168" s="2"/>
      <c r="R168" s="11"/>
      <c r="S168" s="11"/>
      <c r="T168" s="11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</row>
    <row r="169" spans="1:50" ht="12.75" customHeight="1">
      <c r="A169" s="22">
        <v>11</v>
      </c>
      <c r="B169" s="88">
        <f t="shared" si="32"/>
        <v>2377.9623217561589</v>
      </c>
      <c r="C169" s="7">
        <f t="shared" si="36"/>
        <v>142.67773930536953</v>
      </c>
      <c r="D169" s="7">
        <f t="shared" si="35"/>
        <v>1307.3266132625931</v>
      </c>
      <c r="E169" s="7">
        <f t="shared" si="33"/>
        <v>1450.0043525679625</v>
      </c>
      <c r="F169" s="7">
        <f t="shared" si="34"/>
        <v>1070.6357084935657</v>
      </c>
      <c r="G169" s="21"/>
      <c r="H169" s="2">
        <f>E169</f>
        <v>1450.0043525679625</v>
      </c>
      <c r="J169" s="2"/>
      <c r="K169" s="2"/>
      <c r="L169" s="2"/>
      <c r="N169" s="2"/>
      <c r="O169" s="2"/>
      <c r="P169" s="2"/>
      <c r="Q169" s="2"/>
      <c r="R169" s="11"/>
      <c r="S169" s="11"/>
      <c r="T169" s="11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</row>
    <row r="170" spans="1:50" ht="12.75" customHeight="1">
      <c r="A170" s="22">
        <v>12</v>
      </c>
      <c r="B170" s="88">
        <f t="shared" si="32"/>
        <v>1070.6357084935657</v>
      </c>
      <c r="C170" s="7">
        <f t="shared" si="36"/>
        <v>64.238142509613937</v>
      </c>
      <c r="D170" s="7">
        <f t="shared" si="35"/>
        <v>1385.7662100583486</v>
      </c>
      <c r="E170" s="7">
        <f t="shared" si="33"/>
        <v>1450.0043525679625</v>
      </c>
      <c r="F170" s="7">
        <f>B170-D170+D156</f>
        <v>-5.0156478289409279E-4</v>
      </c>
      <c r="G170" s="21"/>
      <c r="H170" s="40"/>
      <c r="I170" s="2">
        <f>E170</f>
        <v>1450.0043525679625</v>
      </c>
      <c r="J170" s="2"/>
      <c r="K170" s="2"/>
      <c r="L170" s="2"/>
      <c r="M170" s="2"/>
      <c r="O170" s="2"/>
      <c r="P170" s="2"/>
      <c r="Q170" s="2"/>
      <c r="R170" s="11"/>
      <c r="S170" s="11"/>
      <c r="T170" s="11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</row>
    <row r="171" spans="1:50" ht="14.25">
      <c r="A171" s="975" t="s">
        <v>549</v>
      </c>
      <c r="B171" s="976"/>
      <c r="C171" s="976"/>
      <c r="D171" s="976"/>
      <c r="E171" s="976"/>
      <c r="F171" s="977"/>
      <c r="G171" s="6"/>
      <c r="J171" s="2"/>
      <c r="K171" s="2"/>
      <c r="L171" s="2"/>
      <c r="M171" s="2"/>
      <c r="N171" s="2"/>
      <c r="O171" s="2"/>
      <c r="P171" s="2"/>
      <c r="Q171" s="2"/>
      <c r="R171" s="11"/>
      <c r="S171" s="11"/>
      <c r="T171" s="11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</row>
    <row r="172" spans="1:50" ht="12.75" customHeight="1">
      <c r="A172" s="26" t="s">
        <v>562</v>
      </c>
      <c r="B172" s="26" t="s">
        <v>535</v>
      </c>
      <c r="C172" s="7" t="s">
        <v>536</v>
      </c>
      <c r="D172" s="9" t="s">
        <v>537</v>
      </c>
      <c r="E172" s="9">
        <v>0</v>
      </c>
      <c r="F172" s="86">
        <v>43530</v>
      </c>
      <c r="G172" s="1" t="s">
        <v>75</v>
      </c>
      <c r="H172" s="835" t="s">
        <v>76</v>
      </c>
      <c r="I172" s="835" t="s">
        <v>77</v>
      </c>
      <c r="J172" s="3" t="s">
        <v>81</v>
      </c>
      <c r="K172" s="3" t="s">
        <v>82</v>
      </c>
      <c r="L172" s="3" t="s">
        <v>83</v>
      </c>
      <c r="M172" s="3" t="s">
        <v>84</v>
      </c>
      <c r="N172" s="3" t="s">
        <v>85</v>
      </c>
      <c r="O172" s="3" t="s">
        <v>86</v>
      </c>
      <c r="P172" s="3" t="s">
        <v>87</v>
      </c>
      <c r="Q172" s="3" t="s">
        <v>88</v>
      </c>
      <c r="R172" s="23" t="s">
        <v>74</v>
      </c>
      <c r="S172" s="11"/>
      <c r="T172" s="11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</row>
    <row r="173" spans="1:50" ht="12.75" customHeight="1">
      <c r="A173" s="972" t="s">
        <v>570</v>
      </c>
      <c r="B173" s="7" t="s">
        <v>119</v>
      </c>
      <c r="C173" s="7">
        <v>14986.72</v>
      </c>
      <c r="D173" s="7">
        <v>7.23</v>
      </c>
      <c r="E173" s="8" t="s">
        <v>539</v>
      </c>
      <c r="F173" s="8">
        <f>C175*C176</f>
        <v>23727.489109978254</v>
      </c>
      <c r="G173" s="6"/>
      <c r="J173" s="2"/>
      <c r="K173" s="2"/>
      <c r="L173" s="2"/>
      <c r="M173" s="2"/>
      <c r="N173" s="2"/>
      <c r="O173" s="2"/>
      <c r="P173" s="2"/>
      <c r="Q173" s="2"/>
      <c r="R173" s="11"/>
      <c r="S173" s="11">
        <f>SUM(C173)</f>
        <v>14986.72</v>
      </c>
      <c r="T173" s="11">
        <f>F173</f>
        <v>23727.489109978254</v>
      </c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</row>
    <row r="174" spans="1:50" ht="12.75" customHeight="1">
      <c r="A174" s="973"/>
      <c r="B174" s="7" t="s">
        <v>540</v>
      </c>
      <c r="C174" s="14">
        <v>0.06</v>
      </c>
      <c r="D174" s="8"/>
      <c r="E174" s="5" t="s">
        <v>541</v>
      </c>
      <c r="F174" s="8">
        <f>C173*(1+C174)^C175</f>
        <v>38071.539399912472</v>
      </c>
      <c r="G174" s="6"/>
      <c r="J174" s="2"/>
      <c r="K174" s="2"/>
      <c r="L174" s="2"/>
      <c r="M174" s="2"/>
      <c r="N174" s="2"/>
      <c r="O174" s="2"/>
      <c r="P174" s="2"/>
      <c r="Q174" s="2"/>
      <c r="R174" s="11"/>
      <c r="S174" s="11"/>
      <c r="T174" s="11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</row>
    <row r="175" spans="1:50" ht="12.75" customHeight="1">
      <c r="A175" s="973"/>
      <c r="B175" s="7" t="s">
        <v>542</v>
      </c>
      <c r="C175" s="9">
        <v>16</v>
      </c>
      <c r="D175" s="42"/>
      <c r="E175" s="10" t="s">
        <v>543</v>
      </c>
      <c r="F175" s="43" t="e">
        <f>SUM(C178:C189)</f>
        <v>#REF!</v>
      </c>
      <c r="G175" s="6"/>
      <c r="J175" s="2"/>
      <c r="K175" s="2"/>
      <c r="L175" s="2"/>
      <c r="M175" s="2"/>
      <c r="N175" s="2"/>
      <c r="O175" s="2"/>
      <c r="P175" s="2"/>
      <c r="Q175" s="2"/>
      <c r="R175" s="11"/>
      <c r="S175" s="11"/>
      <c r="T175" s="11"/>
      <c r="U175" s="2" t="e">
        <f>F175</f>
        <v>#REF!</v>
      </c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</row>
    <row r="176" spans="1:50" ht="12.75" customHeight="1">
      <c r="A176" s="974"/>
      <c r="B176" s="7" t="s">
        <v>544</v>
      </c>
      <c r="C176" s="7">
        <f>C173*C174+C173*C174/((1+C174)^C175-1)+E172</f>
        <v>1482.9680693736409</v>
      </c>
      <c r="D176" s="45"/>
      <c r="E176" s="8" t="s">
        <v>89</v>
      </c>
      <c r="F176" s="45" t="e">
        <f>SUM(G178:R189)</f>
        <v>#REF!</v>
      </c>
      <c r="G176" s="6"/>
      <c r="J176" s="2"/>
      <c r="K176" s="2"/>
      <c r="L176" s="2"/>
      <c r="M176" s="2"/>
      <c r="N176" s="2"/>
      <c r="O176" s="2"/>
      <c r="P176" s="2"/>
      <c r="Q176" s="2"/>
      <c r="R176" s="11"/>
      <c r="S176" s="11"/>
      <c r="T176" s="11"/>
      <c r="V176" s="2" t="e">
        <f>F176</f>
        <v>#REF!</v>
      </c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</row>
    <row r="177" spans="1:50" ht="12.75" customHeight="1">
      <c r="A177" s="26" t="s">
        <v>545</v>
      </c>
      <c r="B177" s="7" t="s">
        <v>546</v>
      </c>
      <c r="C177" s="9" t="s">
        <v>547</v>
      </c>
      <c r="D177" s="44" t="s">
        <v>548</v>
      </c>
      <c r="E177" s="9" t="s">
        <v>251</v>
      </c>
      <c r="F177" s="44" t="s">
        <v>89</v>
      </c>
      <c r="G177" s="6"/>
      <c r="J177" s="2"/>
      <c r="K177" s="2"/>
      <c r="L177" s="2"/>
      <c r="M177" s="2"/>
      <c r="N177" s="2"/>
      <c r="O177" s="2"/>
      <c r="P177" s="2"/>
      <c r="Q177" s="2"/>
      <c r="R177" s="11"/>
      <c r="S177" s="11"/>
      <c r="T177" s="11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</row>
    <row r="178" spans="1:50" ht="12.75" customHeight="1">
      <c r="A178" s="24">
        <v>1</v>
      </c>
      <c r="B178" s="39">
        <v>43565</v>
      </c>
      <c r="C178" s="7" t="s">
        <v>571</v>
      </c>
      <c r="D178" s="7" t="e">
        <f>C176-#REF!</f>
        <v>#REF!</v>
      </c>
      <c r="E178" s="7">
        <v>2400</v>
      </c>
      <c r="F178" s="7" t="e">
        <f>C173-D178</f>
        <v>#REF!</v>
      </c>
      <c r="G178" s="6"/>
      <c r="J178" s="2"/>
      <c r="K178" s="2"/>
      <c r="L178" s="2"/>
      <c r="M178" s="2"/>
      <c r="N178" s="2"/>
      <c r="P178" s="2"/>
      <c r="Q178" s="2"/>
      <c r="R178" s="11"/>
      <c r="S178" s="11"/>
      <c r="T178" s="11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</row>
    <row r="179" spans="1:50" ht="12.75" customHeight="1">
      <c r="A179" s="24">
        <v>2</v>
      </c>
      <c r="B179" s="39">
        <v>43595</v>
      </c>
      <c r="C179" s="7" t="e">
        <f>F178*#REF!</f>
        <v>#REF!</v>
      </c>
      <c r="D179" s="7" t="e">
        <f t="shared" ref="D179:D189" si="37">E178-C179</f>
        <v>#REF!</v>
      </c>
      <c r="E179" s="7" t="e">
        <f t="shared" ref="E179:E189" si="38">C179+D179</f>
        <v>#REF!</v>
      </c>
      <c r="F179" s="7" t="e">
        <f t="shared" ref="F179:F188" si="39">F178-D179</f>
        <v>#REF!</v>
      </c>
      <c r="G179" s="6"/>
      <c r="J179" s="2"/>
      <c r="K179" s="2"/>
      <c r="L179" s="2"/>
      <c r="M179" s="2"/>
      <c r="N179" s="2"/>
      <c r="O179" s="2"/>
      <c r="Q179" s="2"/>
      <c r="R179" s="11"/>
      <c r="S179" s="11"/>
      <c r="T179" s="11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</row>
    <row r="180" spans="1:50" ht="12.75" customHeight="1">
      <c r="A180" s="24">
        <v>3</v>
      </c>
      <c r="B180" s="39">
        <v>43626</v>
      </c>
      <c r="C180" s="7" t="e">
        <f>F179*#REF!</f>
        <v>#REF!</v>
      </c>
      <c r="D180" s="7" t="e">
        <f t="shared" si="37"/>
        <v>#REF!</v>
      </c>
      <c r="E180" s="7" t="e">
        <f t="shared" si="38"/>
        <v>#REF!</v>
      </c>
      <c r="F180" s="7" t="e">
        <f t="shared" si="39"/>
        <v>#REF!</v>
      </c>
      <c r="G180" s="6"/>
      <c r="J180" s="2"/>
      <c r="K180" s="2"/>
      <c r="L180" s="2"/>
      <c r="M180" s="2"/>
      <c r="N180" s="2"/>
      <c r="O180" s="2"/>
      <c r="P180" s="2"/>
      <c r="R180" s="2"/>
      <c r="S180" s="11"/>
      <c r="T180" s="11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</row>
    <row r="181" spans="1:50" ht="12.75" customHeight="1">
      <c r="A181" s="24">
        <v>4</v>
      </c>
      <c r="B181" s="39">
        <v>43656</v>
      </c>
      <c r="C181" s="7" t="e">
        <f>F180*#REF!</f>
        <v>#REF!</v>
      </c>
      <c r="D181" s="7" t="e">
        <f t="shared" si="37"/>
        <v>#REF!</v>
      </c>
      <c r="E181" s="7" t="e">
        <f t="shared" si="38"/>
        <v>#REF!</v>
      </c>
      <c r="F181" s="7" t="e">
        <f t="shared" si="39"/>
        <v>#REF!</v>
      </c>
      <c r="G181" s="11"/>
      <c r="J181" s="2"/>
      <c r="K181" s="2"/>
      <c r="L181" s="2"/>
      <c r="M181" s="2"/>
      <c r="N181" s="2"/>
      <c r="O181" s="2"/>
      <c r="P181" s="2"/>
      <c r="Q181" s="2"/>
      <c r="S181" s="11"/>
      <c r="T181" s="11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</row>
    <row r="182" spans="1:50" ht="12.75" customHeight="1">
      <c r="A182" s="24">
        <v>5</v>
      </c>
      <c r="B182" s="39">
        <v>43687</v>
      </c>
      <c r="C182" s="7" t="e">
        <f>F181*#REF!</f>
        <v>#REF!</v>
      </c>
      <c r="D182" s="7" t="e">
        <f t="shared" si="37"/>
        <v>#REF!</v>
      </c>
      <c r="E182" s="7" t="e">
        <f t="shared" si="38"/>
        <v>#REF!</v>
      </c>
      <c r="F182" s="7" t="e">
        <f t="shared" si="39"/>
        <v>#REF!</v>
      </c>
      <c r="H182" s="6"/>
      <c r="J182" s="2"/>
      <c r="K182" s="2"/>
      <c r="L182" s="2"/>
      <c r="M182" s="2"/>
      <c r="N182" s="2">
        <v>2400</v>
      </c>
      <c r="O182" s="2"/>
      <c r="P182" s="2"/>
      <c r="Q182" s="2"/>
      <c r="R182" s="11"/>
      <c r="S182" s="11"/>
      <c r="T182" s="11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</row>
    <row r="183" spans="1:50" ht="12.75" customHeight="1">
      <c r="A183" s="24">
        <v>6</v>
      </c>
      <c r="B183" s="39">
        <v>43718</v>
      </c>
      <c r="C183" s="7" t="e">
        <f>F182*#REF!</f>
        <v>#REF!</v>
      </c>
      <c r="D183" s="7" t="e">
        <f t="shared" si="37"/>
        <v>#REF!</v>
      </c>
      <c r="E183" s="7" t="e">
        <f t="shared" si="38"/>
        <v>#REF!</v>
      </c>
      <c r="F183" s="7" t="e">
        <f t="shared" si="39"/>
        <v>#REF!</v>
      </c>
      <c r="G183" s="6"/>
      <c r="J183" s="2"/>
      <c r="K183" s="2"/>
      <c r="L183" s="2"/>
      <c r="M183" s="2"/>
      <c r="N183" s="2"/>
      <c r="O183" s="2">
        <v>2400</v>
      </c>
      <c r="P183" s="2"/>
      <c r="Q183" s="2"/>
      <c r="R183" s="11"/>
      <c r="S183" s="11"/>
      <c r="T183" s="11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</row>
    <row r="184" spans="1:50" ht="12.75" customHeight="1">
      <c r="A184" s="24">
        <v>7</v>
      </c>
      <c r="B184" s="39">
        <v>43748</v>
      </c>
      <c r="C184" s="7" t="e">
        <f>F183*#REF!</f>
        <v>#REF!</v>
      </c>
      <c r="D184" s="7" t="e">
        <f t="shared" si="37"/>
        <v>#REF!</v>
      </c>
      <c r="E184" s="7" t="e">
        <f t="shared" si="38"/>
        <v>#REF!</v>
      </c>
      <c r="F184" s="7" t="e">
        <f t="shared" si="39"/>
        <v>#REF!</v>
      </c>
      <c r="G184" s="6"/>
      <c r="H184" s="2"/>
      <c r="K184" s="2"/>
      <c r="L184" s="2"/>
      <c r="M184" s="2"/>
      <c r="N184" s="2"/>
      <c r="O184" s="2"/>
      <c r="P184" s="2">
        <v>2400</v>
      </c>
      <c r="Q184" s="2"/>
      <c r="R184" s="11"/>
      <c r="S184" s="11"/>
      <c r="T184" s="11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</row>
    <row r="185" spans="1:50" ht="12.75" customHeight="1">
      <c r="A185" s="24">
        <v>8</v>
      </c>
      <c r="B185" s="39">
        <v>43779</v>
      </c>
      <c r="C185" s="7" t="e">
        <f>F184*#REF!</f>
        <v>#REF!</v>
      </c>
      <c r="D185" s="7" t="e">
        <f t="shared" si="37"/>
        <v>#REF!</v>
      </c>
      <c r="E185" s="7" t="e">
        <f t="shared" si="38"/>
        <v>#REF!</v>
      </c>
      <c r="F185" s="7" t="e">
        <f t="shared" si="39"/>
        <v>#REF!</v>
      </c>
      <c r="G185" s="6"/>
      <c r="H185" s="2"/>
      <c r="I185" s="2"/>
      <c r="K185" s="2"/>
      <c r="L185" s="2"/>
      <c r="M185" s="2"/>
      <c r="N185" s="2"/>
      <c r="O185" s="2"/>
      <c r="P185" s="2"/>
      <c r="Q185" s="2">
        <v>2400</v>
      </c>
      <c r="R185" s="11"/>
      <c r="S185" s="11"/>
      <c r="T185" s="11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</row>
    <row r="186" spans="1:50" ht="12.75" customHeight="1">
      <c r="A186" s="24">
        <v>9</v>
      </c>
      <c r="B186" s="39">
        <v>43809</v>
      </c>
      <c r="C186" s="7" t="e">
        <f>F185*#REF!</f>
        <v>#REF!</v>
      </c>
      <c r="D186" s="7" t="e">
        <f t="shared" si="37"/>
        <v>#REF!</v>
      </c>
      <c r="E186" s="7" t="e">
        <f t="shared" si="38"/>
        <v>#REF!</v>
      </c>
      <c r="F186" s="7" t="e">
        <f t="shared" si="39"/>
        <v>#REF!</v>
      </c>
      <c r="G186" s="6"/>
      <c r="I186" s="2"/>
      <c r="J186" s="2"/>
      <c r="L186" s="2"/>
      <c r="M186" s="2"/>
      <c r="N186" s="2"/>
      <c r="O186" s="2"/>
      <c r="P186" s="2"/>
      <c r="Q186" s="2"/>
      <c r="R186" s="11">
        <v>2400</v>
      </c>
      <c r="S186" s="11"/>
      <c r="T186" s="11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</row>
    <row r="187" spans="1:50" ht="12.75" customHeight="1">
      <c r="A187" s="24">
        <v>10</v>
      </c>
      <c r="B187" s="39">
        <v>43840</v>
      </c>
      <c r="C187" s="7" t="e">
        <f>F186*#REF!</f>
        <v>#REF!</v>
      </c>
      <c r="D187" s="7" t="e">
        <f t="shared" si="37"/>
        <v>#REF!</v>
      </c>
      <c r="E187" s="7" t="e">
        <f t="shared" si="38"/>
        <v>#REF!</v>
      </c>
      <c r="F187" s="7" t="e">
        <f t="shared" si="39"/>
        <v>#REF!</v>
      </c>
      <c r="G187" s="6">
        <v>2400</v>
      </c>
      <c r="J187" s="2"/>
      <c r="K187" s="2"/>
      <c r="M187" s="2"/>
      <c r="N187" s="2"/>
      <c r="O187" s="2"/>
      <c r="P187" s="2"/>
      <c r="Q187" s="2"/>
      <c r="R187" s="11"/>
      <c r="S187" s="11"/>
      <c r="T187" s="11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</row>
    <row r="188" spans="1:50" ht="12.75" customHeight="1">
      <c r="A188" s="22">
        <v>11</v>
      </c>
      <c r="B188" s="39">
        <v>43871</v>
      </c>
      <c r="C188" s="7" t="e">
        <f>F187*#REF!</f>
        <v>#REF!</v>
      </c>
      <c r="D188" s="7" t="e">
        <f t="shared" si="37"/>
        <v>#REF!</v>
      </c>
      <c r="E188" s="7" t="e">
        <f t="shared" si="38"/>
        <v>#REF!</v>
      </c>
      <c r="F188" s="7" t="e">
        <f t="shared" si="39"/>
        <v>#REF!</v>
      </c>
      <c r="G188" s="21"/>
      <c r="H188" s="6">
        <v>2400</v>
      </c>
      <c r="I188" s="6"/>
      <c r="J188" s="6"/>
      <c r="K188" s="2"/>
      <c r="L188" s="2"/>
      <c r="N188" s="2"/>
      <c r="O188" s="2"/>
      <c r="P188" s="2"/>
      <c r="Q188" s="2"/>
      <c r="R188" s="11"/>
      <c r="S188" s="11"/>
      <c r="T188" s="11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</row>
    <row r="189" spans="1:50" ht="12.75" customHeight="1">
      <c r="A189" s="22">
        <v>12</v>
      </c>
      <c r="B189" s="39">
        <v>43900</v>
      </c>
      <c r="C189" s="7" t="e">
        <f>F188*#REF!</f>
        <v>#REF!</v>
      </c>
      <c r="D189" s="7" t="e">
        <f t="shared" si="37"/>
        <v>#REF!</v>
      </c>
      <c r="E189" s="7" t="e">
        <f t="shared" si="38"/>
        <v>#REF!</v>
      </c>
      <c r="F189" s="7" t="e">
        <f>F188-D189+108.24+135.7</f>
        <v>#REF!</v>
      </c>
      <c r="G189" s="21" t="e">
        <f>SUM(D182:D189)</f>
        <v>#REF!</v>
      </c>
      <c r="H189" s="6"/>
      <c r="I189" s="6">
        <v>2400</v>
      </c>
      <c r="J189" s="6"/>
      <c r="K189" s="2"/>
      <c r="L189" s="2"/>
      <c r="M189" s="2"/>
      <c r="O189" s="2"/>
      <c r="P189" s="2"/>
      <c r="Q189" s="2"/>
      <c r="R189" s="11"/>
      <c r="S189" s="11"/>
      <c r="T189" s="11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</row>
    <row r="190" spans="1:50" ht="14.25">
      <c r="A190" s="975" t="s">
        <v>549</v>
      </c>
      <c r="B190" s="976"/>
      <c r="C190" s="976"/>
      <c r="D190" s="976"/>
      <c r="E190" s="976"/>
      <c r="F190" s="977"/>
      <c r="G190" s="6"/>
      <c r="J190" s="2"/>
      <c r="K190" s="2"/>
      <c r="L190" s="2"/>
      <c r="M190" s="2"/>
      <c r="N190" s="2"/>
      <c r="O190" s="2"/>
      <c r="P190" s="2"/>
      <c r="Q190" s="2"/>
      <c r="R190" s="11"/>
      <c r="S190" s="11"/>
      <c r="T190" s="11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</row>
    <row r="191" spans="1:50" ht="15" customHeight="1">
      <c r="A191" s="26" t="s">
        <v>572</v>
      </c>
      <c r="B191" s="26" t="s">
        <v>535</v>
      </c>
      <c r="C191" s="7" t="s">
        <v>536</v>
      </c>
      <c r="D191" s="9" t="s">
        <v>573</v>
      </c>
      <c r="E191" s="9">
        <v>21.69</v>
      </c>
      <c r="F191" s="86">
        <v>43717</v>
      </c>
    </row>
    <row r="192" spans="1:50" ht="15" customHeight="1">
      <c r="A192" s="972" t="s">
        <v>574</v>
      </c>
      <c r="B192" s="7" t="s">
        <v>119</v>
      </c>
      <c r="C192" s="7">
        <v>30000</v>
      </c>
      <c r="D192" s="7"/>
      <c r="E192" s="8" t="s">
        <v>539</v>
      </c>
      <c r="F192" s="8">
        <f>C194*C195</f>
        <v>43200.010577038884</v>
      </c>
    </row>
    <row r="193" spans="1:6" ht="15" customHeight="1">
      <c r="A193" s="973"/>
      <c r="B193" s="7" t="s">
        <v>540</v>
      </c>
      <c r="C193" s="14">
        <v>0.06</v>
      </c>
      <c r="D193" s="8"/>
      <c r="E193" s="5" t="s">
        <v>541</v>
      </c>
      <c r="F193" s="8">
        <f>C192*(1+C193)^C194</f>
        <v>60365.894155066555</v>
      </c>
    </row>
    <row r="194" spans="1:6" ht="15" customHeight="1">
      <c r="A194" s="973"/>
      <c r="B194" s="7" t="s">
        <v>542</v>
      </c>
      <c r="C194" s="9">
        <v>12</v>
      </c>
      <c r="D194" s="42"/>
      <c r="E194" s="10" t="s">
        <v>543</v>
      </c>
      <c r="F194" s="43">
        <f>SUM(C197:C208)</f>
        <v>12834.101552470371</v>
      </c>
    </row>
    <row r="195" spans="1:6" ht="15" customHeight="1">
      <c r="A195" s="974"/>
      <c r="B195" s="7" t="s">
        <v>544</v>
      </c>
      <c r="C195" s="7">
        <f>C192*C193+C192*C193/((1+C193)^C194-1)+E191</f>
        <v>3600.0008814199068</v>
      </c>
      <c r="D195" s="45"/>
      <c r="E195" s="8" t="s">
        <v>537</v>
      </c>
      <c r="F195" s="8">
        <v>257.67</v>
      </c>
    </row>
    <row r="196" spans="1:6" ht="15" customHeight="1">
      <c r="A196" s="26" t="s">
        <v>545</v>
      </c>
      <c r="B196" s="7" t="s">
        <v>546</v>
      </c>
      <c r="C196" s="9" t="s">
        <v>547</v>
      </c>
      <c r="D196" s="44" t="s">
        <v>548</v>
      </c>
      <c r="E196" s="9" t="s">
        <v>251</v>
      </c>
      <c r="F196" s="44" t="s">
        <v>89</v>
      </c>
    </row>
    <row r="197" spans="1:6" ht="15" customHeight="1">
      <c r="A197" s="24">
        <v>1</v>
      </c>
      <c r="B197" s="39">
        <v>43748</v>
      </c>
      <c r="C197" s="7">
        <f>C192*$C$193</f>
        <v>1800</v>
      </c>
      <c r="D197" s="7">
        <f>C195-C197</f>
        <v>1800.0008814199068</v>
      </c>
      <c r="E197" s="7">
        <f>C$195</f>
        <v>3600.0008814199068</v>
      </c>
      <c r="F197" s="7">
        <f>C192-D197</f>
        <v>28199.999118580094</v>
      </c>
    </row>
    <row r="198" spans="1:6" ht="15" customHeight="1">
      <c r="A198" s="24">
        <v>2</v>
      </c>
      <c r="B198" s="39">
        <v>43779</v>
      </c>
      <c r="C198" s="7">
        <f>F197*C193</f>
        <v>1691.9999471148055</v>
      </c>
      <c r="D198" s="7">
        <f t="shared" ref="D198:D207" si="40">E197-C198</f>
        <v>1908.0009343051013</v>
      </c>
      <c r="E198" s="7">
        <f t="shared" ref="E198:E208" si="41">C198+D198</f>
        <v>3600.0008814199068</v>
      </c>
      <c r="F198" s="7">
        <f t="shared" ref="F198:F207" si="42">F197-D198</f>
        <v>26291.998184274991</v>
      </c>
    </row>
    <row r="199" spans="1:6" ht="15" customHeight="1">
      <c r="A199" s="24">
        <v>3</v>
      </c>
      <c r="B199" s="39">
        <v>43809</v>
      </c>
      <c r="C199" s="7">
        <f>F198*$C$193</f>
        <v>1577.5198910564993</v>
      </c>
      <c r="D199" s="7">
        <f t="shared" si="40"/>
        <v>2022.4809903634075</v>
      </c>
      <c r="E199" s="7">
        <f>C199+D199</f>
        <v>3600.0008814199068</v>
      </c>
      <c r="F199" s="7">
        <f t="shared" si="42"/>
        <v>24269.517193911583</v>
      </c>
    </row>
    <row r="200" spans="1:6" ht="15" customHeight="1">
      <c r="A200" s="24">
        <v>4</v>
      </c>
      <c r="B200" s="39">
        <v>43840</v>
      </c>
      <c r="C200" s="7">
        <f t="shared" ref="C200:C208" si="43">F199*$C$193</f>
        <v>1456.1710316346948</v>
      </c>
      <c r="D200" s="7">
        <f t="shared" si="40"/>
        <v>2143.829849785212</v>
      </c>
      <c r="E200" s="7">
        <f t="shared" si="41"/>
        <v>3600.0008814199068</v>
      </c>
      <c r="F200" s="7">
        <f t="shared" si="42"/>
        <v>22125.687344126371</v>
      </c>
    </row>
    <row r="201" spans="1:6" ht="15" customHeight="1">
      <c r="A201" s="24">
        <v>5</v>
      </c>
      <c r="B201" s="39">
        <v>43871</v>
      </c>
      <c r="C201" s="7">
        <f t="shared" si="43"/>
        <v>1327.5412406475823</v>
      </c>
      <c r="D201" s="7">
        <f t="shared" si="40"/>
        <v>2272.4596407723247</v>
      </c>
      <c r="E201" s="7">
        <f t="shared" si="41"/>
        <v>3600.0008814199073</v>
      </c>
      <c r="F201" s="7">
        <f t="shared" si="42"/>
        <v>19853.227703354045</v>
      </c>
    </row>
    <row r="202" spans="1:6" ht="15" customHeight="1">
      <c r="A202" s="24">
        <v>6</v>
      </c>
      <c r="B202" s="39">
        <v>43900</v>
      </c>
      <c r="C202" s="7">
        <f t="shared" si="43"/>
        <v>1191.1936622012427</v>
      </c>
      <c r="D202" s="7">
        <f t="shared" si="40"/>
        <v>2408.8072192186646</v>
      </c>
      <c r="E202" s="7">
        <f t="shared" si="41"/>
        <v>3600.0008814199073</v>
      </c>
      <c r="F202" s="7">
        <f t="shared" si="42"/>
        <v>17444.420484135379</v>
      </c>
    </row>
    <row r="203" spans="1:6" ht="15" customHeight="1">
      <c r="A203" s="24">
        <v>7</v>
      </c>
      <c r="B203" s="39">
        <v>43931</v>
      </c>
      <c r="C203" s="7">
        <f t="shared" si="43"/>
        <v>1046.6652290481227</v>
      </c>
      <c r="D203" s="7">
        <f t="shared" si="40"/>
        <v>2553.3356523717848</v>
      </c>
      <c r="E203" s="7">
        <f t="shared" si="41"/>
        <v>3600.0008814199073</v>
      </c>
      <c r="F203" s="7">
        <f t="shared" si="42"/>
        <v>14891.084831763594</v>
      </c>
    </row>
    <row r="204" spans="1:6" ht="15" customHeight="1">
      <c r="A204" s="24">
        <v>8</v>
      </c>
      <c r="B204" s="39">
        <v>43961</v>
      </c>
      <c r="C204" s="7">
        <f t="shared" si="43"/>
        <v>893.4650899058156</v>
      </c>
      <c r="D204" s="7">
        <f t="shared" si="40"/>
        <v>2706.5357915140917</v>
      </c>
      <c r="E204" s="7">
        <f t="shared" si="41"/>
        <v>3600.0008814199073</v>
      </c>
      <c r="F204" s="7">
        <f t="shared" si="42"/>
        <v>12184.549040249502</v>
      </c>
    </row>
    <row r="205" spans="1:6" ht="15" customHeight="1">
      <c r="A205" s="24">
        <v>9</v>
      </c>
      <c r="B205" s="39">
        <v>43992</v>
      </c>
      <c r="C205" s="7">
        <f t="shared" si="43"/>
        <v>731.07294241497004</v>
      </c>
      <c r="D205" s="7">
        <f t="shared" si="40"/>
        <v>2868.9279390049373</v>
      </c>
      <c r="E205" s="7">
        <f t="shared" si="41"/>
        <v>3600.0008814199073</v>
      </c>
      <c r="F205" s="7">
        <f t="shared" si="42"/>
        <v>9315.6211012445638</v>
      </c>
    </row>
    <row r="206" spans="1:6" ht="15" customHeight="1">
      <c r="A206" s="24">
        <v>10</v>
      </c>
      <c r="B206" s="39">
        <v>44022</v>
      </c>
      <c r="C206" s="7">
        <f t="shared" si="43"/>
        <v>558.93726607467386</v>
      </c>
      <c r="D206" s="7">
        <f t="shared" si="40"/>
        <v>3041.0636153452333</v>
      </c>
      <c r="E206" s="7">
        <f t="shared" si="41"/>
        <v>3600.0008814199073</v>
      </c>
      <c r="F206" s="7">
        <f t="shared" si="42"/>
        <v>6274.5574858993305</v>
      </c>
    </row>
    <row r="207" spans="1:6" ht="15" customHeight="1">
      <c r="A207" s="22">
        <v>11</v>
      </c>
      <c r="B207" s="39">
        <v>44053</v>
      </c>
      <c r="C207" s="7">
        <f t="shared" si="43"/>
        <v>376.47344915395979</v>
      </c>
      <c r="D207" s="7">
        <f t="shared" si="40"/>
        <v>3223.5274322659475</v>
      </c>
      <c r="E207" s="7">
        <f t="shared" si="41"/>
        <v>3600.0008814199073</v>
      </c>
      <c r="F207" s="7">
        <f t="shared" si="42"/>
        <v>3051.030053633383</v>
      </c>
    </row>
    <row r="208" spans="1:6" ht="15" customHeight="1">
      <c r="A208" s="22">
        <v>12</v>
      </c>
      <c r="B208" s="39">
        <v>44084</v>
      </c>
      <c r="C208" s="7">
        <f t="shared" si="43"/>
        <v>183.06180321800298</v>
      </c>
      <c r="D208" s="7">
        <f>E207-C208</f>
        <v>3416.9390782019045</v>
      </c>
      <c r="E208" s="7">
        <f t="shared" si="41"/>
        <v>3600.0008814199073</v>
      </c>
      <c r="F208" s="7">
        <f>F207-D208+108.24+F195</f>
        <v>9.7543147848000444E-4</v>
      </c>
    </row>
    <row r="209" spans="1:13" ht="15" customHeight="1">
      <c r="A209" s="975" t="s">
        <v>549</v>
      </c>
      <c r="B209" s="976"/>
      <c r="C209" s="976"/>
      <c r="D209" s="976"/>
      <c r="E209" s="976"/>
      <c r="F209" s="977"/>
      <c r="G209" s="2">
        <f>SUM(D198:D208)</f>
        <v>28565.908143148605</v>
      </c>
      <c r="H209" s="2">
        <f>G209+3600</f>
        <v>32165.908143148605</v>
      </c>
      <c r="J209" s="2">
        <f>SUM(D198:D208)</f>
        <v>28565.908143148605</v>
      </c>
      <c r="K209">
        <v>29892</v>
      </c>
      <c r="L209" s="2">
        <f>K209-J209</f>
        <v>1326.0918568513953</v>
      </c>
      <c r="M209" s="2">
        <f>SUM(E198:E208)</f>
        <v>39600.009695618981</v>
      </c>
    </row>
    <row r="210" spans="1:13" ht="15" customHeight="1">
      <c r="A210" s="26" t="s">
        <v>554</v>
      </c>
      <c r="B210" s="26" t="s">
        <v>535</v>
      </c>
      <c r="C210" s="7" t="s">
        <v>536</v>
      </c>
      <c r="D210" s="9" t="s">
        <v>573</v>
      </c>
      <c r="E210" s="9">
        <v>7.23</v>
      </c>
      <c r="F210" s="86">
        <v>43717</v>
      </c>
    </row>
    <row r="211" spans="1:13" ht="15" customHeight="1">
      <c r="A211" s="972" t="s">
        <v>575</v>
      </c>
      <c r="B211" s="7" t="s">
        <v>119</v>
      </c>
      <c r="C211" s="7">
        <v>10000</v>
      </c>
      <c r="D211" s="7"/>
      <c r="E211" s="8" t="s">
        <v>539</v>
      </c>
      <c r="F211" s="8">
        <f>C213*C214</f>
        <v>14400.003525679625</v>
      </c>
    </row>
    <row r="212" spans="1:13" ht="15" customHeight="1">
      <c r="A212" s="973"/>
      <c r="B212" s="7" t="s">
        <v>540</v>
      </c>
      <c r="C212" s="14">
        <v>0.06</v>
      </c>
      <c r="D212" s="8"/>
      <c r="E212" s="5" t="s">
        <v>541</v>
      </c>
      <c r="F212" s="8">
        <f>C211*(1+C212)^C213</f>
        <v>20121.964718355517</v>
      </c>
    </row>
    <row r="213" spans="1:13" ht="15" customHeight="1">
      <c r="A213" s="973"/>
      <c r="B213" s="7" t="s">
        <v>542</v>
      </c>
      <c r="C213" s="9">
        <v>12</v>
      </c>
      <c r="D213" s="42"/>
      <c r="E213" s="10" t="s">
        <v>543</v>
      </c>
      <c r="F213" s="43">
        <f>SUM(C216:C227)</f>
        <v>4278.033850823459</v>
      </c>
      <c r="H213" s="2">
        <f>1200-C214</f>
        <v>-2.938066354545299E-4</v>
      </c>
    </row>
    <row r="214" spans="1:13" ht="15" customHeight="1">
      <c r="A214" s="974"/>
      <c r="B214" s="7" t="s">
        <v>544</v>
      </c>
      <c r="C214" s="7">
        <f>C211*C212+C211*C212/((1+C212)^C213-1)+E210</f>
        <v>1200.0002938066355</v>
      </c>
      <c r="D214" s="45"/>
      <c r="E214" s="8" t="s">
        <v>537</v>
      </c>
      <c r="F214" s="8">
        <v>13.73</v>
      </c>
    </row>
    <row r="215" spans="1:13" ht="15" customHeight="1">
      <c r="A215" s="26" t="s">
        <v>545</v>
      </c>
      <c r="B215" s="7" t="s">
        <v>546</v>
      </c>
      <c r="C215" s="9" t="s">
        <v>547</v>
      </c>
      <c r="D215" s="44" t="s">
        <v>548</v>
      </c>
      <c r="E215" s="9" t="s">
        <v>251</v>
      </c>
      <c r="F215" s="44" t="s">
        <v>89</v>
      </c>
    </row>
    <row r="216" spans="1:13" ht="15" customHeight="1">
      <c r="A216" s="24">
        <v>1</v>
      </c>
      <c r="B216" s="39">
        <v>43779</v>
      </c>
      <c r="C216" s="7">
        <f>C211*$C$212</f>
        <v>600</v>
      </c>
      <c r="D216" s="7">
        <f>C214-C216</f>
        <v>600.00029380663545</v>
      </c>
      <c r="E216" s="7">
        <f>C216+D216</f>
        <v>1200.0002938066355</v>
      </c>
      <c r="F216" s="7">
        <f>C211-D216</f>
        <v>9399.9997061933645</v>
      </c>
    </row>
    <row r="217" spans="1:13" ht="15" customHeight="1">
      <c r="A217" s="24">
        <v>2</v>
      </c>
      <c r="B217" s="39">
        <v>43809</v>
      </c>
      <c r="C217" s="7">
        <f>F216*$C$212</f>
        <v>563.99998237160185</v>
      </c>
      <c r="D217" s="7">
        <f>E216-C217</f>
        <v>636.00031143503361</v>
      </c>
      <c r="E217" s="7">
        <f t="shared" ref="E217" si="44">C217+D217</f>
        <v>1200.0002938066355</v>
      </c>
      <c r="F217" s="7">
        <f t="shared" ref="F217:F226" si="45">F216-D217</f>
        <v>8763.9993947583316</v>
      </c>
    </row>
    <row r="218" spans="1:13" ht="15" customHeight="1">
      <c r="A218" s="24">
        <v>3</v>
      </c>
      <c r="B218" s="39">
        <v>43840</v>
      </c>
      <c r="C218" s="7">
        <f>F217*$C$212</f>
        <v>525.83996368549992</v>
      </c>
      <c r="D218" s="7">
        <f t="shared" ref="D218:D226" si="46">E217-C218</f>
        <v>674.16033012113553</v>
      </c>
      <c r="E218" s="7">
        <f>C218+D218</f>
        <v>1200.0002938066355</v>
      </c>
      <c r="F218" s="7">
        <f t="shared" si="45"/>
        <v>8089.8390646371963</v>
      </c>
    </row>
    <row r="219" spans="1:13" ht="15" customHeight="1">
      <c r="A219" s="24">
        <v>4</v>
      </c>
      <c r="B219" s="39">
        <v>43871</v>
      </c>
      <c r="C219" s="7">
        <f>F218*$C$212</f>
        <v>485.39034387823176</v>
      </c>
      <c r="D219" s="7">
        <f t="shared" si="46"/>
        <v>714.60994992840369</v>
      </c>
      <c r="E219" s="7">
        <f t="shared" ref="E219:E227" si="47">C219+D219</f>
        <v>1200.0002938066355</v>
      </c>
      <c r="F219" s="7">
        <f t="shared" si="45"/>
        <v>7375.2291147087926</v>
      </c>
    </row>
    <row r="220" spans="1:13" ht="15" customHeight="1">
      <c r="A220" s="24">
        <v>5</v>
      </c>
      <c r="B220" s="39">
        <v>43900</v>
      </c>
      <c r="C220" s="7">
        <f>F219*$C$212</f>
        <v>442.51374688252753</v>
      </c>
      <c r="D220" s="7">
        <f t="shared" si="46"/>
        <v>757.48654692410787</v>
      </c>
      <c r="E220" s="7">
        <f t="shared" si="47"/>
        <v>1200.0002938066355</v>
      </c>
      <c r="F220" s="7">
        <f t="shared" si="45"/>
        <v>6617.742567784685</v>
      </c>
    </row>
    <row r="221" spans="1:13" ht="15" customHeight="1">
      <c r="A221" s="24">
        <v>6</v>
      </c>
      <c r="B221" s="39">
        <v>43931</v>
      </c>
      <c r="C221" s="7">
        <f>F220*$C$212</f>
        <v>397.06455406708108</v>
      </c>
      <c r="D221" s="7">
        <f t="shared" si="46"/>
        <v>802.93573973955438</v>
      </c>
      <c r="E221" s="7">
        <f t="shared" si="47"/>
        <v>1200.0002938066355</v>
      </c>
      <c r="F221" s="7">
        <f t="shared" si="45"/>
        <v>5814.8068280451307</v>
      </c>
    </row>
    <row r="222" spans="1:13" ht="15" customHeight="1">
      <c r="A222" s="24">
        <v>7</v>
      </c>
      <c r="B222" s="39">
        <v>43961</v>
      </c>
      <c r="C222" s="7">
        <f t="shared" ref="C222:C227" si="48">F221*$C$212</f>
        <v>348.88840968270785</v>
      </c>
      <c r="D222" s="7">
        <f t="shared" si="46"/>
        <v>851.11188412392767</v>
      </c>
      <c r="E222" s="7">
        <f t="shared" si="47"/>
        <v>1200.0002938066355</v>
      </c>
      <c r="F222" s="7">
        <f t="shared" si="45"/>
        <v>4963.694943921203</v>
      </c>
    </row>
    <row r="223" spans="1:13" ht="15" customHeight="1">
      <c r="A223" s="24">
        <v>8</v>
      </c>
      <c r="B223" s="39">
        <v>43992</v>
      </c>
      <c r="C223" s="7">
        <f t="shared" si="48"/>
        <v>297.82169663527219</v>
      </c>
      <c r="D223" s="7">
        <f t="shared" si="46"/>
        <v>902.17859717136321</v>
      </c>
      <c r="E223" s="7">
        <f t="shared" si="47"/>
        <v>1200.0002938066355</v>
      </c>
      <c r="F223" s="7">
        <f t="shared" si="45"/>
        <v>4061.5163467498396</v>
      </c>
    </row>
    <row r="224" spans="1:13" ht="15" customHeight="1">
      <c r="A224" s="24">
        <v>9</v>
      </c>
      <c r="B224" s="39">
        <v>44022</v>
      </c>
      <c r="C224" s="7">
        <f t="shared" si="48"/>
        <v>243.69098080499037</v>
      </c>
      <c r="D224" s="7">
        <f t="shared" si="46"/>
        <v>956.30931300164502</v>
      </c>
      <c r="E224" s="7">
        <f t="shared" si="47"/>
        <v>1200.0002938066355</v>
      </c>
      <c r="F224" s="7">
        <f t="shared" si="45"/>
        <v>3105.2070337481946</v>
      </c>
    </row>
    <row r="225" spans="1:6" ht="15" customHeight="1">
      <c r="A225" s="24">
        <v>10</v>
      </c>
      <c r="B225" s="39">
        <v>44053</v>
      </c>
      <c r="C225" s="7">
        <f t="shared" si="48"/>
        <v>186.31242202489167</v>
      </c>
      <c r="D225" s="7">
        <f t="shared" si="46"/>
        <v>1013.6878717817438</v>
      </c>
      <c r="E225" s="7">
        <f t="shared" si="47"/>
        <v>1200.0002938066355</v>
      </c>
      <c r="F225" s="7">
        <f t="shared" si="45"/>
        <v>2091.5191619664511</v>
      </c>
    </row>
    <row r="226" spans="1:6" ht="15" customHeight="1">
      <c r="A226" s="22">
        <v>11</v>
      </c>
      <c r="B226" s="39">
        <v>44084</v>
      </c>
      <c r="C226" s="7">
        <f t="shared" si="48"/>
        <v>125.49114971798706</v>
      </c>
      <c r="D226" s="7">
        <f t="shared" si="46"/>
        <v>1074.5091440886483</v>
      </c>
      <c r="E226" s="7">
        <f t="shared" si="47"/>
        <v>1200.0002938066355</v>
      </c>
      <c r="F226" s="7">
        <f t="shared" si="45"/>
        <v>1017.0100178778027</v>
      </c>
    </row>
    <row r="227" spans="1:6" ht="15" customHeight="1">
      <c r="A227" s="22">
        <v>12</v>
      </c>
      <c r="B227" s="39">
        <v>44114</v>
      </c>
      <c r="C227" s="7">
        <f t="shared" si="48"/>
        <v>61.020601072668164</v>
      </c>
      <c r="D227" s="7">
        <f>E226-C227</f>
        <v>1138.9796927339673</v>
      </c>
      <c r="E227" s="7">
        <f t="shared" si="47"/>
        <v>1200.0002938066355</v>
      </c>
      <c r="F227" s="7">
        <f>F226-D227+108.24+F214</f>
        <v>3.2514383539350433E-4</v>
      </c>
    </row>
    <row r="228" spans="1:6" ht="15" customHeight="1">
      <c r="A228" s="975" t="s">
        <v>549</v>
      </c>
      <c r="B228" s="976"/>
      <c r="C228" s="976"/>
      <c r="D228" s="976"/>
      <c r="E228" s="976"/>
      <c r="F228" s="977"/>
    </row>
    <row r="229" spans="1:6" ht="15" customHeight="1">
      <c r="A229" s="26" t="s">
        <v>554</v>
      </c>
      <c r="B229" s="26" t="s">
        <v>535</v>
      </c>
      <c r="C229" s="7" t="s">
        <v>536</v>
      </c>
      <c r="D229" s="9" t="s">
        <v>573</v>
      </c>
      <c r="E229" s="9">
        <f>10.84</f>
        <v>10.84</v>
      </c>
      <c r="F229" s="86">
        <v>43888</v>
      </c>
    </row>
    <row r="230" spans="1:6" ht="15" customHeight="1">
      <c r="A230" s="972" t="s">
        <v>576</v>
      </c>
      <c r="B230" s="7" t="s">
        <v>119</v>
      </c>
      <c r="C230" s="7">
        <v>15000</v>
      </c>
      <c r="D230" s="7"/>
      <c r="E230" s="8" t="s">
        <v>539</v>
      </c>
      <c r="F230" s="8">
        <f>C232*C233</f>
        <v>21599.945288519441</v>
      </c>
    </row>
    <row r="231" spans="1:6" ht="15" customHeight="1">
      <c r="A231" s="973"/>
      <c r="B231" s="7" t="s">
        <v>540</v>
      </c>
      <c r="C231" s="14">
        <v>0.06</v>
      </c>
      <c r="D231" s="8"/>
      <c r="E231" s="5" t="s">
        <v>541</v>
      </c>
      <c r="F231" s="8">
        <f>C230*(1+C231)^C232</f>
        <v>30182.947077533277</v>
      </c>
    </row>
    <row r="232" spans="1:6" ht="15" customHeight="1">
      <c r="A232" s="973"/>
      <c r="B232" s="7" t="s">
        <v>542</v>
      </c>
      <c r="C232" s="9">
        <v>12</v>
      </c>
      <c r="D232" s="42"/>
      <c r="E232" s="10" t="s">
        <v>543</v>
      </c>
      <c r="F232" s="43">
        <f>SUM(C235:C246)</f>
        <v>6417.0751259411736</v>
      </c>
    </row>
    <row r="233" spans="1:6" ht="15" customHeight="1">
      <c r="A233" s="974"/>
      <c r="B233" s="7" t="s">
        <v>544</v>
      </c>
      <c r="C233" s="7">
        <f>C230*C231+C230*C231/((1+C231)^C232-1)+E229</f>
        <v>1799.9954407099533</v>
      </c>
      <c r="D233" s="45"/>
      <c r="E233" s="8" t="s">
        <v>537</v>
      </c>
      <c r="F233" s="8">
        <v>74.63</v>
      </c>
    </row>
    <row r="234" spans="1:6" ht="15" customHeight="1">
      <c r="A234" s="26" t="s">
        <v>545</v>
      </c>
      <c r="B234" s="7" t="s">
        <v>546</v>
      </c>
      <c r="C234" s="9" t="s">
        <v>547</v>
      </c>
      <c r="D234" s="44" t="s">
        <v>548</v>
      </c>
      <c r="E234" s="9" t="s">
        <v>251</v>
      </c>
      <c r="F234" s="44" t="s">
        <v>89</v>
      </c>
    </row>
    <row r="235" spans="1:6" ht="15" customHeight="1">
      <c r="A235" s="24">
        <v>1</v>
      </c>
      <c r="B235" s="39">
        <v>43917</v>
      </c>
      <c r="C235" s="7">
        <f>C230*$C$231</f>
        <v>900</v>
      </c>
      <c r="D235" s="7">
        <f>C233-C235</f>
        <v>899.9954407099533</v>
      </c>
      <c r="E235" s="7">
        <f>C235+D235</f>
        <v>1799.9954407099533</v>
      </c>
      <c r="F235" s="7">
        <f>C230-D235</f>
        <v>14100.004559290046</v>
      </c>
    </row>
    <row r="236" spans="1:6" ht="15" customHeight="1">
      <c r="A236" s="24">
        <v>2</v>
      </c>
      <c r="B236" s="39">
        <v>43948</v>
      </c>
      <c r="C236" s="7">
        <f>F235*$C$212</f>
        <v>846.00027355740269</v>
      </c>
      <c r="D236" s="7">
        <f t="shared" ref="D236:D245" si="49">E235-C236</f>
        <v>953.99516715255061</v>
      </c>
      <c r="E236" s="7">
        <f t="shared" ref="E236" si="50">C236+D236</f>
        <v>1799.9954407099533</v>
      </c>
      <c r="F236" s="7">
        <f t="shared" ref="F236:F245" si="51">F235-D236</f>
        <v>13146.009392137496</v>
      </c>
    </row>
    <row r="237" spans="1:6" ht="15" customHeight="1">
      <c r="A237" s="24">
        <v>3</v>
      </c>
      <c r="B237" s="39">
        <v>43978</v>
      </c>
      <c r="C237" s="7">
        <f>F236*$C$212</f>
        <v>788.76056352824969</v>
      </c>
      <c r="D237" s="7">
        <f t="shared" si="49"/>
        <v>1011.2348771817036</v>
      </c>
      <c r="E237" s="7">
        <f>C237+D237</f>
        <v>1799.9954407099533</v>
      </c>
      <c r="F237" s="7">
        <f t="shared" si="51"/>
        <v>12134.774514955792</v>
      </c>
    </row>
    <row r="238" spans="1:6" ht="15" customHeight="1">
      <c r="A238" s="24">
        <v>4</v>
      </c>
      <c r="B238" s="39">
        <v>44009</v>
      </c>
      <c r="C238" s="7">
        <f>F237*$C$212</f>
        <v>728.08647089734745</v>
      </c>
      <c r="D238" s="7">
        <f t="shared" si="49"/>
        <v>1071.9089698126058</v>
      </c>
      <c r="E238" s="7">
        <f t="shared" ref="E238:E246" si="52">C238+D238</f>
        <v>1799.9954407099533</v>
      </c>
      <c r="F238" s="7">
        <f t="shared" si="51"/>
        <v>11062.865545143186</v>
      </c>
    </row>
    <row r="239" spans="1:6" ht="15" customHeight="1">
      <c r="A239" s="24">
        <v>5</v>
      </c>
      <c r="B239" s="39">
        <v>44039</v>
      </c>
      <c r="C239" s="7">
        <f>F238*$C$212</f>
        <v>663.77193270859118</v>
      </c>
      <c r="D239" s="7">
        <f t="shared" si="49"/>
        <v>1136.223508001362</v>
      </c>
      <c r="E239" s="7">
        <f t="shared" si="52"/>
        <v>1799.9954407099531</v>
      </c>
      <c r="F239" s="7">
        <f t="shared" si="51"/>
        <v>9926.6420371418244</v>
      </c>
    </row>
    <row r="240" spans="1:6" ht="15" customHeight="1">
      <c r="A240" s="24">
        <v>6</v>
      </c>
      <c r="B240" s="39">
        <v>44070</v>
      </c>
      <c r="C240" s="7">
        <f>F239*$C$212</f>
        <v>595.59852222850941</v>
      </c>
      <c r="D240" s="7">
        <f t="shared" si="49"/>
        <v>1204.3969184814437</v>
      </c>
      <c r="E240" s="7">
        <f t="shared" si="52"/>
        <v>1799.9954407099531</v>
      </c>
      <c r="F240" s="7">
        <f t="shared" si="51"/>
        <v>8722.2451186603812</v>
      </c>
    </row>
    <row r="241" spans="1:6" ht="15" customHeight="1">
      <c r="A241" s="24">
        <v>7</v>
      </c>
      <c r="B241" s="39">
        <v>44101</v>
      </c>
      <c r="C241" s="7">
        <f t="shared" ref="C241:C246" si="53">F240*$C$212</f>
        <v>523.33470711962286</v>
      </c>
      <c r="D241" s="7">
        <f t="shared" si="49"/>
        <v>1276.6607335903302</v>
      </c>
      <c r="E241" s="7">
        <f t="shared" si="52"/>
        <v>1799.9954407099531</v>
      </c>
      <c r="F241" s="7">
        <f t="shared" si="51"/>
        <v>7445.5843850700512</v>
      </c>
    </row>
    <row r="242" spans="1:6" ht="15" customHeight="1">
      <c r="A242" s="24">
        <v>8</v>
      </c>
      <c r="B242" s="39">
        <v>44131</v>
      </c>
      <c r="C242" s="7">
        <f t="shared" si="53"/>
        <v>446.73506310420305</v>
      </c>
      <c r="D242" s="7">
        <f t="shared" si="49"/>
        <v>1353.2603776057499</v>
      </c>
      <c r="E242" s="7">
        <f t="shared" si="52"/>
        <v>1799.9954407099531</v>
      </c>
      <c r="F242" s="7">
        <f t="shared" si="51"/>
        <v>6092.3240074643018</v>
      </c>
    </row>
    <row r="243" spans="1:6" ht="15" customHeight="1">
      <c r="A243" s="24">
        <v>9</v>
      </c>
      <c r="B243" s="39">
        <v>44162</v>
      </c>
      <c r="C243" s="7">
        <f t="shared" si="53"/>
        <v>365.53944044785811</v>
      </c>
      <c r="D243" s="7">
        <f t="shared" si="49"/>
        <v>1434.4560002620949</v>
      </c>
      <c r="E243" s="7">
        <f t="shared" si="52"/>
        <v>1799.9954407099531</v>
      </c>
      <c r="F243" s="7">
        <f t="shared" si="51"/>
        <v>4657.8680072022071</v>
      </c>
    </row>
    <row r="244" spans="1:6" ht="15" customHeight="1">
      <c r="A244" s="24">
        <v>10</v>
      </c>
      <c r="B244" s="39">
        <v>44192</v>
      </c>
      <c r="C244" s="7">
        <f t="shared" si="53"/>
        <v>279.47208043213243</v>
      </c>
      <c r="D244" s="7">
        <f t="shared" si="49"/>
        <v>1520.5233602778208</v>
      </c>
      <c r="E244" s="7">
        <f t="shared" si="52"/>
        <v>1799.9954407099531</v>
      </c>
      <c r="F244" s="7">
        <f t="shared" si="51"/>
        <v>3137.3446469243863</v>
      </c>
    </row>
    <row r="245" spans="1:6" ht="15" customHeight="1">
      <c r="A245" s="22">
        <v>11</v>
      </c>
      <c r="B245" s="39">
        <v>44223</v>
      </c>
      <c r="C245" s="7">
        <f t="shared" si="53"/>
        <v>188.24067881546318</v>
      </c>
      <c r="D245" s="7">
        <f t="shared" si="49"/>
        <v>1611.75476189449</v>
      </c>
      <c r="E245" s="7">
        <f t="shared" si="52"/>
        <v>1799.9954407099531</v>
      </c>
      <c r="F245" s="7">
        <f t="shared" si="51"/>
        <v>1525.5898850298963</v>
      </c>
    </row>
    <row r="246" spans="1:6" ht="15" customHeight="1">
      <c r="A246" s="22">
        <v>12</v>
      </c>
      <c r="B246" s="39">
        <v>44254</v>
      </c>
      <c r="C246" s="7">
        <f t="shared" si="53"/>
        <v>91.535393101793773</v>
      </c>
      <c r="D246" s="7">
        <f>E245-C246</f>
        <v>1708.4600476081594</v>
      </c>
      <c r="E246" s="7">
        <f t="shared" si="52"/>
        <v>1799.9954407099531</v>
      </c>
      <c r="F246" s="7">
        <f>F245-D246+108.24+F233</f>
        <v>-1.6257826304411083E-4</v>
      </c>
    </row>
    <row r="247" spans="1:6" ht="15" customHeight="1">
      <c r="A247" s="975" t="s">
        <v>549</v>
      </c>
      <c r="B247" s="976"/>
      <c r="C247" s="976"/>
      <c r="D247" s="976"/>
      <c r="E247" s="976"/>
      <c r="F247" s="977"/>
    </row>
    <row r="248" spans="1:6" ht="15" customHeight="1">
      <c r="A248" s="26" t="s">
        <v>577</v>
      </c>
      <c r="B248" s="26" t="s">
        <v>535</v>
      </c>
      <c r="C248" s="7" t="s">
        <v>536</v>
      </c>
      <c r="D248" s="9" t="s">
        <v>573</v>
      </c>
      <c r="E248" s="9">
        <v>14.46</v>
      </c>
      <c r="F248" s="86">
        <v>43897</v>
      </c>
    </row>
    <row r="249" spans="1:6" ht="15" customHeight="1">
      <c r="A249" s="972" t="s">
        <v>578</v>
      </c>
      <c r="B249" s="7" t="s">
        <v>119</v>
      </c>
      <c r="C249" s="7">
        <v>20000</v>
      </c>
      <c r="D249" s="7"/>
      <c r="E249" s="8" t="s">
        <v>539</v>
      </c>
      <c r="F249" s="8">
        <f>C251*C252</f>
        <v>28800.007051359251</v>
      </c>
    </row>
    <row r="250" spans="1:6" ht="15" customHeight="1">
      <c r="A250" s="973"/>
      <c r="B250" s="7" t="s">
        <v>540</v>
      </c>
      <c r="C250" s="14">
        <v>0.06</v>
      </c>
      <c r="D250" s="8"/>
      <c r="E250" s="5" t="s">
        <v>541</v>
      </c>
      <c r="F250" s="8">
        <f>C249*(1+C250)^C251</f>
        <v>40243.929436711034</v>
      </c>
    </row>
    <row r="251" spans="1:6" ht="15" customHeight="1">
      <c r="A251" s="973"/>
      <c r="B251" s="7" t="s">
        <v>542</v>
      </c>
      <c r="C251" s="9">
        <v>12</v>
      </c>
      <c r="D251" s="42"/>
      <c r="E251" s="10" t="s">
        <v>543</v>
      </c>
      <c r="F251" s="43">
        <f>SUM(C254:C265)</f>
        <v>8556.0677016469181</v>
      </c>
    </row>
    <row r="252" spans="1:6" ht="15" customHeight="1">
      <c r="A252" s="974"/>
      <c r="B252" s="7" t="s">
        <v>544</v>
      </c>
      <c r="C252" s="7">
        <f>C249*C250+C249*C250/((1+C250)^C251-1)+E248</f>
        <v>2400.0005876132709</v>
      </c>
      <c r="D252" s="45"/>
      <c r="E252" s="8" t="s">
        <v>537</v>
      </c>
      <c r="F252" s="8">
        <v>135.69999999999999</v>
      </c>
    </row>
    <row r="253" spans="1:6" ht="15" customHeight="1">
      <c r="A253" s="26" t="s">
        <v>545</v>
      </c>
      <c r="B253" s="7" t="s">
        <v>546</v>
      </c>
      <c r="C253" s="9" t="s">
        <v>547</v>
      </c>
      <c r="D253" s="44" t="s">
        <v>548</v>
      </c>
      <c r="E253" s="9" t="s">
        <v>251</v>
      </c>
      <c r="F253" s="44" t="s">
        <v>89</v>
      </c>
    </row>
    <row r="254" spans="1:6" ht="15" customHeight="1">
      <c r="A254" s="24">
        <v>1</v>
      </c>
      <c r="B254" s="39">
        <v>43928</v>
      </c>
      <c r="C254" s="7">
        <f>C249*$C$231</f>
        <v>1200</v>
      </c>
      <c r="D254" s="7">
        <f>C252-C254</f>
        <v>1200.0005876132709</v>
      </c>
      <c r="E254" s="7">
        <f>C254+D254</f>
        <v>2400.0005876132709</v>
      </c>
      <c r="F254" s="7">
        <f>C249-D254</f>
        <v>18799.999412386729</v>
      </c>
    </row>
    <row r="255" spans="1:6" ht="15" customHeight="1">
      <c r="A255" s="24">
        <v>2</v>
      </c>
      <c r="B255" s="39">
        <v>43958</v>
      </c>
      <c r="C255" s="7">
        <f>F254*$C$212</f>
        <v>1127.9999647432037</v>
      </c>
      <c r="D255" s="7">
        <f t="shared" ref="D255:D264" si="54">E254-C255</f>
        <v>1272.0006228700672</v>
      </c>
      <c r="E255" s="7">
        <f t="shared" ref="E255" si="55">C255+D255</f>
        <v>2400.0005876132709</v>
      </c>
      <c r="F255" s="7">
        <f t="shared" ref="F255:F264" si="56">F254-D255</f>
        <v>17527.998789516663</v>
      </c>
    </row>
    <row r="256" spans="1:6" ht="15" customHeight="1">
      <c r="A256" s="24">
        <v>3</v>
      </c>
      <c r="B256" s="39">
        <v>43989</v>
      </c>
      <c r="C256" s="7">
        <f>F255*$C$212</f>
        <v>1051.6799273709998</v>
      </c>
      <c r="D256" s="7">
        <f t="shared" si="54"/>
        <v>1348.3206602422711</v>
      </c>
      <c r="E256" s="7">
        <f>C256+D256</f>
        <v>2400.0005876132709</v>
      </c>
      <c r="F256" s="7">
        <f t="shared" si="56"/>
        <v>16179.678129274393</v>
      </c>
    </row>
    <row r="257" spans="1:8" ht="15" customHeight="1">
      <c r="A257" s="24">
        <v>4</v>
      </c>
      <c r="B257" s="39">
        <v>44019</v>
      </c>
      <c r="C257" s="7">
        <f>F256*$C$212</f>
        <v>970.78068775646352</v>
      </c>
      <c r="D257" s="7">
        <f t="shared" si="54"/>
        <v>1429.2198998568074</v>
      </c>
      <c r="E257" s="7">
        <f t="shared" ref="E257:E265" si="57">C257+D257</f>
        <v>2400.0005876132709</v>
      </c>
      <c r="F257" s="7">
        <f t="shared" si="56"/>
        <v>14750.458229417585</v>
      </c>
    </row>
    <row r="258" spans="1:8" ht="15" customHeight="1">
      <c r="A258" s="24">
        <v>5</v>
      </c>
      <c r="B258" s="39">
        <v>44050</v>
      </c>
      <c r="C258" s="7">
        <f>F257*$C$212</f>
        <v>885.02749376505506</v>
      </c>
      <c r="D258" s="7">
        <f t="shared" si="54"/>
        <v>1514.9730938482157</v>
      </c>
      <c r="E258" s="7">
        <f t="shared" si="57"/>
        <v>2400.0005876132709</v>
      </c>
      <c r="F258" s="7">
        <f t="shared" si="56"/>
        <v>13235.48513556937</v>
      </c>
    </row>
    <row r="259" spans="1:8" ht="15" customHeight="1">
      <c r="A259" s="24">
        <v>6</v>
      </c>
      <c r="B259" s="39">
        <v>44081</v>
      </c>
      <c r="C259" s="7">
        <f>F258*$C$212</f>
        <v>794.12910813416215</v>
      </c>
      <c r="D259" s="7">
        <f t="shared" si="54"/>
        <v>1605.8714794791088</v>
      </c>
      <c r="E259" s="7">
        <f t="shared" si="57"/>
        <v>2400.0005876132709</v>
      </c>
      <c r="F259" s="7">
        <f t="shared" si="56"/>
        <v>11629.613656090261</v>
      </c>
    </row>
    <row r="260" spans="1:8" ht="15" customHeight="1">
      <c r="A260" s="24">
        <v>7</v>
      </c>
      <c r="B260" s="39">
        <v>44111</v>
      </c>
      <c r="C260" s="7">
        <f t="shared" ref="C260:C265" si="58">F259*$C$212</f>
        <v>697.77681936541569</v>
      </c>
      <c r="D260" s="7">
        <f t="shared" si="54"/>
        <v>1702.2237682478553</v>
      </c>
      <c r="E260" s="7">
        <f t="shared" si="57"/>
        <v>2400.0005876132709</v>
      </c>
      <c r="F260" s="7">
        <f t="shared" si="56"/>
        <v>9927.3898878424061</v>
      </c>
    </row>
    <row r="261" spans="1:8" ht="15" customHeight="1">
      <c r="A261" s="24">
        <v>8</v>
      </c>
      <c r="B261" s="39">
        <v>44142</v>
      </c>
      <c r="C261" s="7">
        <f t="shared" si="58"/>
        <v>595.64339327054438</v>
      </c>
      <c r="D261" s="7">
        <f t="shared" si="54"/>
        <v>1804.3571943427264</v>
      </c>
      <c r="E261" s="7">
        <f t="shared" si="57"/>
        <v>2400.0005876132709</v>
      </c>
      <c r="F261" s="7">
        <f t="shared" si="56"/>
        <v>8123.0326934996792</v>
      </c>
    </row>
    <row r="262" spans="1:8" ht="15" customHeight="1">
      <c r="A262" s="24">
        <v>9</v>
      </c>
      <c r="B262" s="39">
        <v>44172</v>
      </c>
      <c r="C262" s="7">
        <f t="shared" si="58"/>
        <v>487.38196160998075</v>
      </c>
      <c r="D262" s="7">
        <f t="shared" si="54"/>
        <v>1912.61862600329</v>
      </c>
      <c r="E262" s="7">
        <f t="shared" si="57"/>
        <v>2400.0005876132709</v>
      </c>
      <c r="F262" s="7">
        <f t="shared" si="56"/>
        <v>6210.4140674963892</v>
      </c>
    </row>
    <row r="263" spans="1:8" ht="15" customHeight="1">
      <c r="A263" s="24">
        <v>10</v>
      </c>
      <c r="B263" s="39">
        <v>44203</v>
      </c>
      <c r="C263" s="7">
        <f t="shared" si="58"/>
        <v>372.62484404978335</v>
      </c>
      <c r="D263" s="7">
        <f t="shared" si="54"/>
        <v>2027.3757435634875</v>
      </c>
      <c r="E263" s="7">
        <f t="shared" si="57"/>
        <v>2400.0005876132709</v>
      </c>
      <c r="F263" s="7">
        <f t="shared" si="56"/>
        <v>4183.0383239329021</v>
      </c>
    </row>
    <row r="264" spans="1:8" ht="15" customHeight="1">
      <c r="A264" s="22">
        <v>11</v>
      </c>
      <c r="B264" s="39">
        <v>44234</v>
      </c>
      <c r="C264" s="7">
        <f t="shared" si="58"/>
        <v>250.98229943597411</v>
      </c>
      <c r="D264" s="7">
        <f t="shared" si="54"/>
        <v>2149.0182881772967</v>
      </c>
      <c r="E264" s="7">
        <f t="shared" si="57"/>
        <v>2400.0005876132709</v>
      </c>
      <c r="F264" s="7">
        <f t="shared" si="56"/>
        <v>2034.0200357556055</v>
      </c>
    </row>
    <row r="265" spans="1:8" ht="15" customHeight="1">
      <c r="A265" s="22">
        <v>12</v>
      </c>
      <c r="B265" s="39">
        <v>44262</v>
      </c>
      <c r="C265" s="7">
        <f t="shared" si="58"/>
        <v>122.04120214533633</v>
      </c>
      <c r="D265" s="7">
        <f>E264-C265</f>
        <v>2277.9593854679347</v>
      </c>
      <c r="E265" s="7">
        <f t="shared" si="57"/>
        <v>2400.0005876132709</v>
      </c>
      <c r="F265" s="7">
        <f>F264-D265+108.24+F252</f>
        <v>6.5028767079411409E-4</v>
      </c>
    </row>
    <row r="266" spans="1:8" ht="15" customHeight="1">
      <c r="A266" s="975" t="s">
        <v>549</v>
      </c>
      <c r="B266" s="976"/>
      <c r="C266" s="976"/>
      <c r="D266" s="976"/>
      <c r="E266" s="976"/>
      <c r="F266" s="977"/>
    </row>
    <row r="267" spans="1:8" ht="15" customHeight="1">
      <c r="A267" s="26" t="s">
        <v>550</v>
      </c>
      <c r="B267" s="26" t="s">
        <v>535</v>
      </c>
      <c r="C267" s="7" t="s">
        <v>536</v>
      </c>
      <c r="D267" s="9" t="s">
        <v>573</v>
      </c>
      <c r="E267" s="9">
        <v>7.23</v>
      </c>
      <c r="F267" s="86">
        <v>43923</v>
      </c>
    </row>
    <row r="268" spans="1:8" ht="15" customHeight="1">
      <c r="A268" s="972" t="s">
        <v>579</v>
      </c>
      <c r="B268" s="7" t="s">
        <v>119</v>
      </c>
      <c r="C268" s="7">
        <v>10000</v>
      </c>
      <c r="D268" s="7"/>
      <c r="E268" s="8" t="s">
        <v>539</v>
      </c>
      <c r="F268" s="8">
        <f>C270*C271</f>
        <v>14400.003525679625</v>
      </c>
    </row>
    <row r="269" spans="1:8" ht="15" customHeight="1">
      <c r="A269" s="973"/>
      <c r="B269" s="7" t="s">
        <v>540</v>
      </c>
      <c r="C269" s="14">
        <v>0.06</v>
      </c>
      <c r="D269" s="8"/>
      <c r="E269" s="5" t="s">
        <v>541</v>
      </c>
      <c r="F269" s="8">
        <f>C268*(1+C269)^C270</f>
        <v>20121.964718355517</v>
      </c>
    </row>
    <row r="270" spans="1:8" ht="15" customHeight="1">
      <c r="A270" s="973"/>
      <c r="B270" s="7" t="s">
        <v>542</v>
      </c>
      <c r="C270" s="9">
        <v>12</v>
      </c>
      <c r="D270" s="42"/>
      <c r="E270" s="10" t="s">
        <v>543</v>
      </c>
      <c r="F270" s="43">
        <f>SUM(C273:C284)</f>
        <v>4278.033850823459</v>
      </c>
      <c r="H270" s="2">
        <f>1200-C271</f>
        <v>-2.938066354545299E-4</v>
      </c>
    </row>
    <row r="271" spans="1:8" ht="15" customHeight="1">
      <c r="A271" s="974"/>
      <c r="B271" s="7" t="s">
        <v>544</v>
      </c>
      <c r="C271" s="7">
        <f>C268*C269+C268*C269/((1+C269)^C270-1)+E267</f>
        <v>1200.0002938066355</v>
      </c>
      <c r="D271" s="45"/>
      <c r="E271" s="8" t="s">
        <v>537</v>
      </c>
      <c r="F271" s="8">
        <v>13.73</v>
      </c>
    </row>
    <row r="272" spans="1:8" ht="15" customHeight="1">
      <c r="A272" s="26" t="s">
        <v>545</v>
      </c>
      <c r="B272" s="7" t="s">
        <v>546</v>
      </c>
      <c r="C272" s="9" t="s">
        <v>547</v>
      </c>
      <c r="D272" s="44" t="s">
        <v>548</v>
      </c>
      <c r="E272" s="9" t="s">
        <v>251</v>
      </c>
      <c r="F272" s="44" t="s">
        <v>89</v>
      </c>
    </row>
    <row r="273" spans="1:6" ht="15" customHeight="1">
      <c r="A273" s="24">
        <v>1</v>
      </c>
      <c r="B273" s="39">
        <v>43953</v>
      </c>
      <c r="C273" s="7">
        <f>C268*$C$212</f>
        <v>600</v>
      </c>
      <c r="D273" s="7">
        <f>C271-C273</f>
        <v>600.00029380663545</v>
      </c>
      <c r="E273" s="7">
        <f>C273+D273</f>
        <v>1200.0002938066355</v>
      </c>
      <c r="F273" s="7">
        <f>C268-D273</f>
        <v>9399.9997061933645</v>
      </c>
    </row>
    <row r="274" spans="1:6" ht="15" customHeight="1">
      <c r="A274" s="24">
        <v>2</v>
      </c>
      <c r="B274" s="39">
        <v>43984</v>
      </c>
      <c r="C274" s="7">
        <f>F273*$C$212</f>
        <v>563.99998237160185</v>
      </c>
      <c r="D274" s="7">
        <f>E273-C274</f>
        <v>636.00031143503361</v>
      </c>
      <c r="E274" s="7">
        <f t="shared" ref="E274" si="59">C274+D274</f>
        <v>1200.0002938066355</v>
      </c>
      <c r="F274" s="7">
        <f t="shared" ref="F274:F283" si="60">F273-D274</f>
        <v>8763.9993947583316</v>
      </c>
    </row>
    <row r="275" spans="1:6" ht="15" customHeight="1">
      <c r="A275" s="24">
        <v>3</v>
      </c>
      <c r="B275" s="39">
        <v>44014</v>
      </c>
      <c r="C275" s="7">
        <f>F274*$C$212</f>
        <v>525.83996368549992</v>
      </c>
      <c r="D275" s="7">
        <f t="shared" ref="D275:D283" si="61">E274-C275</f>
        <v>674.16033012113553</v>
      </c>
      <c r="E275" s="7">
        <f>C275+D275</f>
        <v>1200.0002938066355</v>
      </c>
      <c r="F275" s="7">
        <f t="shared" si="60"/>
        <v>8089.8390646371963</v>
      </c>
    </row>
    <row r="276" spans="1:6" ht="15" customHeight="1">
      <c r="A276" s="24">
        <v>4</v>
      </c>
      <c r="B276" s="39">
        <v>44045</v>
      </c>
      <c r="C276" s="7">
        <f>F275*$C$212</f>
        <v>485.39034387823176</v>
      </c>
      <c r="D276" s="7">
        <f t="shared" si="61"/>
        <v>714.60994992840369</v>
      </c>
      <c r="E276" s="7">
        <f t="shared" ref="E276:E284" si="62">C276+D276</f>
        <v>1200.0002938066355</v>
      </c>
      <c r="F276" s="7">
        <f t="shared" si="60"/>
        <v>7375.2291147087926</v>
      </c>
    </row>
    <row r="277" spans="1:6" ht="15" customHeight="1">
      <c r="A277" s="24">
        <v>5</v>
      </c>
      <c r="B277" s="39">
        <v>44076</v>
      </c>
      <c r="C277" s="7">
        <f>F276*$C$212</f>
        <v>442.51374688252753</v>
      </c>
      <c r="D277" s="7">
        <f t="shared" si="61"/>
        <v>757.48654692410787</v>
      </c>
      <c r="E277" s="7">
        <f t="shared" si="62"/>
        <v>1200.0002938066355</v>
      </c>
      <c r="F277" s="7">
        <f t="shared" si="60"/>
        <v>6617.742567784685</v>
      </c>
    </row>
    <row r="278" spans="1:6" ht="15" customHeight="1">
      <c r="A278" s="24">
        <v>6</v>
      </c>
      <c r="B278" s="39">
        <v>44106</v>
      </c>
      <c r="C278" s="7">
        <f>F277*$C$212</f>
        <v>397.06455406708108</v>
      </c>
      <c r="D278" s="7">
        <f t="shared" si="61"/>
        <v>802.93573973955438</v>
      </c>
      <c r="E278" s="7">
        <f t="shared" si="62"/>
        <v>1200.0002938066355</v>
      </c>
      <c r="F278" s="7">
        <f t="shared" si="60"/>
        <v>5814.8068280451307</v>
      </c>
    </row>
    <row r="279" spans="1:6" ht="15" customHeight="1">
      <c r="A279" s="24">
        <v>7</v>
      </c>
      <c r="B279" s="39">
        <v>44137</v>
      </c>
      <c r="C279" s="7">
        <f t="shared" ref="C279:C284" si="63">F278*$C$212</f>
        <v>348.88840968270785</v>
      </c>
      <c r="D279" s="7">
        <f t="shared" si="61"/>
        <v>851.11188412392767</v>
      </c>
      <c r="E279" s="7">
        <f t="shared" si="62"/>
        <v>1200.0002938066355</v>
      </c>
      <c r="F279" s="7">
        <f t="shared" si="60"/>
        <v>4963.694943921203</v>
      </c>
    </row>
    <row r="280" spans="1:6" ht="15" customHeight="1">
      <c r="A280" s="24">
        <v>8</v>
      </c>
      <c r="B280" s="39">
        <v>44167</v>
      </c>
      <c r="C280" s="7">
        <f t="shared" si="63"/>
        <v>297.82169663527219</v>
      </c>
      <c r="D280" s="7">
        <f t="shared" si="61"/>
        <v>902.17859717136321</v>
      </c>
      <c r="E280" s="7">
        <f t="shared" si="62"/>
        <v>1200.0002938066355</v>
      </c>
      <c r="F280" s="7">
        <f t="shared" si="60"/>
        <v>4061.5163467498396</v>
      </c>
    </row>
    <row r="281" spans="1:6" ht="15" customHeight="1">
      <c r="A281" s="24">
        <v>9</v>
      </c>
      <c r="B281" s="39">
        <v>44198</v>
      </c>
      <c r="C281" s="7">
        <f t="shared" si="63"/>
        <v>243.69098080499037</v>
      </c>
      <c r="D281" s="7">
        <f t="shared" si="61"/>
        <v>956.30931300164502</v>
      </c>
      <c r="E281" s="7">
        <f t="shared" si="62"/>
        <v>1200.0002938066355</v>
      </c>
      <c r="F281" s="7">
        <f t="shared" si="60"/>
        <v>3105.2070337481946</v>
      </c>
    </row>
    <row r="282" spans="1:6" ht="15" customHeight="1">
      <c r="A282" s="24">
        <v>10</v>
      </c>
      <c r="B282" s="39">
        <v>44229</v>
      </c>
      <c r="C282" s="7">
        <f t="shared" si="63"/>
        <v>186.31242202489167</v>
      </c>
      <c r="D282" s="7">
        <f t="shared" si="61"/>
        <v>1013.6878717817438</v>
      </c>
      <c r="E282" s="7">
        <f t="shared" si="62"/>
        <v>1200.0002938066355</v>
      </c>
      <c r="F282" s="7">
        <f t="shared" si="60"/>
        <v>2091.5191619664511</v>
      </c>
    </row>
    <row r="283" spans="1:6" ht="15" customHeight="1">
      <c r="A283" s="22">
        <v>11</v>
      </c>
      <c r="B283" s="39">
        <v>44257</v>
      </c>
      <c r="C283" s="7">
        <f t="shared" si="63"/>
        <v>125.49114971798706</v>
      </c>
      <c r="D283" s="7">
        <f t="shared" si="61"/>
        <v>1074.5091440886483</v>
      </c>
      <c r="E283" s="7">
        <f t="shared" si="62"/>
        <v>1200.0002938066355</v>
      </c>
      <c r="F283" s="7">
        <f t="shared" si="60"/>
        <v>1017.0100178778027</v>
      </c>
    </row>
    <row r="284" spans="1:6" ht="15" customHeight="1">
      <c r="A284" s="22">
        <v>12</v>
      </c>
      <c r="B284" s="39">
        <v>44288</v>
      </c>
      <c r="C284" s="7">
        <f t="shared" si="63"/>
        <v>61.020601072668164</v>
      </c>
      <c r="D284" s="7">
        <f>E283-C284</f>
        <v>1138.9796927339673</v>
      </c>
      <c r="E284" s="7">
        <f t="shared" si="62"/>
        <v>1200.0002938066355</v>
      </c>
      <c r="F284" s="7">
        <f>F283-D284+108.24+F271</f>
        <v>3.2514383539350433E-4</v>
      </c>
    </row>
    <row r="285" spans="1:6" ht="15" customHeight="1">
      <c r="A285" s="975" t="s">
        <v>549</v>
      </c>
      <c r="B285" s="976"/>
      <c r="C285" s="976"/>
      <c r="D285" s="976"/>
      <c r="E285" s="976"/>
      <c r="F285" s="977"/>
    </row>
    <row r="286" spans="1:6" ht="15" customHeight="1">
      <c r="A286" s="26" t="s">
        <v>550</v>
      </c>
      <c r="B286" s="26" t="s">
        <v>535</v>
      </c>
      <c r="C286" s="7" t="s">
        <v>536</v>
      </c>
      <c r="D286" s="9" t="s">
        <v>573</v>
      </c>
      <c r="E286" s="9">
        <v>7.23</v>
      </c>
      <c r="F286" s="86">
        <v>44160</v>
      </c>
    </row>
    <row r="287" spans="1:6" ht="15" customHeight="1">
      <c r="A287" s="972" t="s">
        <v>580</v>
      </c>
      <c r="B287" s="7" t="s">
        <v>119</v>
      </c>
      <c r="C287" s="7">
        <v>10000</v>
      </c>
      <c r="D287" s="7"/>
      <c r="E287" s="8" t="s">
        <v>539</v>
      </c>
      <c r="F287" s="8">
        <f>C289*C290</f>
        <v>14400.003525679625</v>
      </c>
    </row>
    <row r="288" spans="1:6" ht="15" customHeight="1">
      <c r="A288" s="973"/>
      <c r="B288" s="7" t="s">
        <v>540</v>
      </c>
      <c r="C288" s="14">
        <v>0.06</v>
      </c>
      <c r="D288" s="8"/>
      <c r="E288" s="5" t="s">
        <v>541</v>
      </c>
      <c r="F288" s="8">
        <f>C287*(1+C288)^C289</f>
        <v>20121.964718355517</v>
      </c>
    </row>
    <row r="289" spans="1:8" ht="15" customHeight="1">
      <c r="A289" s="973"/>
      <c r="B289" s="7" t="s">
        <v>542</v>
      </c>
      <c r="C289" s="9">
        <v>12</v>
      </c>
      <c r="D289" s="42"/>
      <c r="E289" s="10" t="s">
        <v>543</v>
      </c>
      <c r="F289" s="43">
        <f>SUM(C292:C303)</f>
        <v>4278.033850823459</v>
      </c>
      <c r="H289" s="2"/>
    </row>
    <row r="290" spans="1:8" ht="15" customHeight="1">
      <c r="A290" s="974"/>
      <c r="B290" s="7" t="s">
        <v>544</v>
      </c>
      <c r="C290" s="7">
        <f>C287*C288+C287*C288/((1+C288)^C289-1)+E286</f>
        <v>1200.0002938066355</v>
      </c>
      <c r="D290" s="45"/>
      <c r="E290" s="8" t="s">
        <v>537</v>
      </c>
      <c r="F290" s="8">
        <v>13.73</v>
      </c>
    </row>
    <row r="291" spans="1:8" ht="15" customHeight="1">
      <c r="A291" s="26" t="s">
        <v>545</v>
      </c>
      <c r="B291" s="7" t="s">
        <v>546</v>
      </c>
      <c r="C291" s="9" t="s">
        <v>547</v>
      </c>
      <c r="D291" s="44" t="s">
        <v>548</v>
      </c>
      <c r="E291" s="9" t="s">
        <v>251</v>
      </c>
      <c r="F291" s="44" t="s">
        <v>89</v>
      </c>
    </row>
    <row r="292" spans="1:8" ht="15" customHeight="1">
      <c r="A292" s="24">
        <v>1</v>
      </c>
      <c r="B292" s="39">
        <v>43953</v>
      </c>
      <c r="C292" s="7">
        <f>C287*$C$212</f>
        <v>600</v>
      </c>
      <c r="D292" s="7">
        <f>C290-C292</f>
        <v>600.00029380663545</v>
      </c>
      <c r="E292" s="7">
        <f>C292+D292</f>
        <v>1200.0002938066355</v>
      </c>
      <c r="F292" s="7">
        <f>C287-D292</f>
        <v>9399.9997061933645</v>
      </c>
    </row>
    <row r="293" spans="1:8" ht="15" customHeight="1">
      <c r="A293" s="24">
        <v>2</v>
      </c>
      <c r="B293" s="39">
        <v>43984</v>
      </c>
      <c r="C293" s="7">
        <f>F292*$C$212</f>
        <v>563.99998237160185</v>
      </c>
      <c r="D293" s="7">
        <f>E292-C293</f>
        <v>636.00031143503361</v>
      </c>
      <c r="E293" s="7">
        <f t="shared" ref="E293" si="64">C293+D293</f>
        <v>1200.0002938066355</v>
      </c>
      <c r="F293" s="7">
        <f t="shared" ref="F293:F302" si="65">F292-D293</f>
        <v>8763.9993947583316</v>
      </c>
    </row>
    <row r="294" spans="1:8" ht="15" customHeight="1">
      <c r="A294" s="24">
        <v>3</v>
      </c>
      <c r="B294" s="39">
        <v>44014</v>
      </c>
      <c r="C294" s="7">
        <f>F293*$C$212</f>
        <v>525.83996368549992</v>
      </c>
      <c r="D294" s="7">
        <f t="shared" ref="D294:D302" si="66">E293-C294</f>
        <v>674.16033012113553</v>
      </c>
      <c r="E294" s="7">
        <f>C294+D294</f>
        <v>1200.0002938066355</v>
      </c>
      <c r="F294" s="7">
        <f t="shared" si="65"/>
        <v>8089.8390646371963</v>
      </c>
    </row>
    <row r="295" spans="1:8" ht="15" customHeight="1">
      <c r="A295" s="24">
        <v>4</v>
      </c>
      <c r="B295" s="39">
        <v>44045</v>
      </c>
      <c r="C295" s="7">
        <f>F294*$C$212</f>
        <v>485.39034387823176</v>
      </c>
      <c r="D295" s="7">
        <f t="shared" si="66"/>
        <v>714.60994992840369</v>
      </c>
      <c r="E295" s="7">
        <f t="shared" ref="E295:E303" si="67">C295+D295</f>
        <v>1200.0002938066355</v>
      </c>
      <c r="F295" s="7">
        <f t="shared" si="65"/>
        <v>7375.2291147087926</v>
      </c>
    </row>
    <row r="296" spans="1:8" ht="15" customHeight="1">
      <c r="A296" s="24">
        <v>5</v>
      </c>
      <c r="B296" s="39">
        <v>44076</v>
      </c>
      <c r="C296" s="7">
        <f>F295*$C$212</f>
        <v>442.51374688252753</v>
      </c>
      <c r="D296" s="7">
        <f t="shared" si="66"/>
        <v>757.48654692410787</v>
      </c>
      <c r="E296" s="7">
        <f t="shared" si="67"/>
        <v>1200.0002938066355</v>
      </c>
      <c r="F296" s="7">
        <f t="shared" si="65"/>
        <v>6617.742567784685</v>
      </c>
    </row>
    <row r="297" spans="1:8" ht="15" customHeight="1">
      <c r="A297" s="24">
        <v>6</v>
      </c>
      <c r="B297" s="39">
        <v>44106</v>
      </c>
      <c r="C297" s="7">
        <f>F296*$C$212</f>
        <v>397.06455406708108</v>
      </c>
      <c r="D297" s="7">
        <f t="shared" si="66"/>
        <v>802.93573973955438</v>
      </c>
      <c r="E297" s="7">
        <f t="shared" si="67"/>
        <v>1200.0002938066355</v>
      </c>
      <c r="F297" s="7">
        <f t="shared" si="65"/>
        <v>5814.8068280451307</v>
      </c>
    </row>
    <row r="298" spans="1:8" ht="15" customHeight="1">
      <c r="A298" s="24">
        <v>7</v>
      </c>
      <c r="B298" s="39">
        <v>44137</v>
      </c>
      <c r="C298" s="7">
        <f t="shared" ref="C298:C303" si="68">F297*$C$212</f>
        <v>348.88840968270785</v>
      </c>
      <c r="D298" s="7">
        <f t="shared" si="66"/>
        <v>851.11188412392767</v>
      </c>
      <c r="E298" s="7">
        <f t="shared" si="67"/>
        <v>1200.0002938066355</v>
      </c>
      <c r="F298" s="7">
        <f t="shared" si="65"/>
        <v>4963.694943921203</v>
      </c>
    </row>
    <row r="299" spans="1:8" ht="15" customHeight="1">
      <c r="A299" s="24">
        <v>8</v>
      </c>
      <c r="B299" s="39">
        <v>44167</v>
      </c>
      <c r="C299" s="7">
        <f t="shared" si="68"/>
        <v>297.82169663527219</v>
      </c>
      <c r="D299" s="7">
        <f t="shared" si="66"/>
        <v>902.17859717136321</v>
      </c>
      <c r="E299" s="7">
        <f t="shared" si="67"/>
        <v>1200.0002938066355</v>
      </c>
      <c r="F299" s="7">
        <f t="shared" si="65"/>
        <v>4061.5163467498396</v>
      </c>
    </row>
    <row r="300" spans="1:8" ht="15" customHeight="1">
      <c r="A300" s="24">
        <v>9</v>
      </c>
      <c r="B300" s="39">
        <v>44198</v>
      </c>
      <c r="C300" s="7">
        <f t="shared" si="68"/>
        <v>243.69098080499037</v>
      </c>
      <c r="D300" s="7">
        <f t="shared" si="66"/>
        <v>956.30931300164502</v>
      </c>
      <c r="E300" s="7">
        <f t="shared" si="67"/>
        <v>1200.0002938066355</v>
      </c>
      <c r="F300" s="7">
        <f t="shared" si="65"/>
        <v>3105.2070337481946</v>
      </c>
    </row>
    <row r="301" spans="1:8" ht="15" customHeight="1">
      <c r="A301" s="24">
        <v>10</v>
      </c>
      <c r="B301" s="39">
        <v>44229</v>
      </c>
      <c r="C301" s="7">
        <f t="shared" si="68"/>
        <v>186.31242202489167</v>
      </c>
      <c r="D301" s="7">
        <f t="shared" si="66"/>
        <v>1013.6878717817438</v>
      </c>
      <c r="E301" s="7">
        <f t="shared" si="67"/>
        <v>1200.0002938066355</v>
      </c>
      <c r="F301" s="7">
        <f t="shared" si="65"/>
        <v>2091.5191619664511</v>
      </c>
    </row>
    <row r="302" spans="1:8" ht="15" customHeight="1">
      <c r="A302" s="22">
        <v>11</v>
      </c>
      <c r="B302" s="39">
        <v>44257</v>
      </c>
      <c r="C302" s="7">
        <f t="shared" si="68"/>
        <v>125.49114971798706</v>
      </c>
      <c r="D302" s="7">
        <f t="shared" si="66"/>
        <v>1074.5091440886483</v>
      </c>
      <c r="E302" s="7">
        <f t="shared" si="67"/>
        <v>1200.0002938066355</v>
      </c>
      <c r="F302" s="7">
        <f t="shared" si="65"/>
        <v>1017.0100178778027</v>
      </c>
    </row>
    <row r="303" spans="1:8" ht="15" customHeight="1">
      <c r="A303" s="22">
        <v>12</v>
      </c>
      <c r="B303" s="39">
        <v>44288</v>
      </c>
      <c r="C303" s="7">
        <f t="shared" si="68"/>
        <v>61.020601072668164</v>
      </c>
      <c r="D303" s="7">
        <f>E302-C303</f>
        <v>1138.9796927339673</v>
      </c>
      <c r="E303" s="7">
        <f t="shared" si="67"/>
        <v>1200.0002938066355</v>
      </c>
      <c r="F303" s="7">
        <f>F302-D303+108.24+F290</f>
        <v>3.2514383539350433E-4</v>
      </c>
    </row>
    <row r="304" spans="1:8" ht="15" customHeight="1">
      <c r="A304" s="975" t="s">
        <v>549</v>
      </c>
      <c r="B304" s="976"/>
      <c r="C304" s="976"/>
      <c r="D304" s="976"/>
      <c r="E304" s="976"/>
      <c r="F304" s="977"/>
    </row>
    <row r="305" spans="1:8" ht="15" customHeight="1">
      <c r="A305" s="26" t="s">
        <v>572</v>
      </c>
      <c r="B305" s="26" t="s">
        <v>535</v>
      </c>
      <c r="C305" s="7" t="s">
        <v>536</v>
      </c>
      <c r="D305" s="9" t="s">
        <v>573</v>
      </c>
      <c r="E305" s="9">
        <v>7.23</v>
      </c>
      <c r="F305" s="86">
        <v>44202</v>
      </c>
    </row>
    <row r="306" spans="1:8" ht="15" customHeight="1">
      <c r="A306" s="972" t="s">
        <v>581</v>
      </c>
      <c r="B306" s="7" t="s">
        <v>119</v>
      </c>
      <c r="C306" s="7">
        <v>10000</v>
      </c>
      <c r="D306" s="7"/>
      <c r="E306" s="8" t="s">
        <v>539</v>
      </c>
      <c r="F306" s="8">
        <f>C308*C309</f>
        <v>14400.003525679625</v>
      </c>
    </row>
    <row r="307" spans="1:8" ht="15" customHeight="1">
      <c r="A307" s="973"/>
      <c r="B307" s="7" t="s">
        <v>540</v>
      </c>
      <c r="C307" s="14">
        <v>0.06</v>
      </c>
      <c r="D307" s="8"/>
      <c r="E307" s="5" t="s">
        <v>541</v>
      </c>
      <c r="F307" s="8">
        <f>C306*(1+C307)^C308</f>
        <v>20121.964718355517</v>
      </c>
    </row>
    <row r="308" spans="1:8" ht="15" customHeight="1">
      <c r="A308" s="973"/>
      <c r="B308" s="7" t="s">
        <v>542</v>
      </c>
      <c r="C308" s="9">
        <v>12</v>
      </c>
      <c r="D308" s="42"/>
      <c r="E308" s="10" t="s">
        <v>543</v>
      </c>
      <c r="F308" s="43">
        <f>SUM(C311:C322)</f>
        <v>4278.033850823459</v>
      </c>
      <c r="H308" s="2"/>
    </row>
    <row r="309" spans="1:8" ht="15" customHeight="1">
      <c r="A309" s="974"/>
      <c r="B309" s="7" t="s">
        <v>544</v>
      </c>
      <c r="C309" s="7">
        <f>C306*C307+C306*C307/((1+C307)^C308-1)+E305</f>
        <v>1200.0002938066355</v>
      </c>
      <c r="D309" s="45"/>
      <c r="E309" s="8" t="s">
        <v>537</v>
      </c>
      <c r="F309" s="8">
        <v>13.73</v>
      </c>
    </row>
    <row r="310" spans="1:8" ht="15" customHeight="1">
      <c r="A310" s="26" t="s">
        <v>545</v>
      </c>
      <c r="B310" s="7" t="s">
        <v>546</v>
      </c>
      <c r="C310" s="9" t="s">
        <v>547</v>
      </c>
      <c r="D310" s="44" t="s">
        <v>548</v>
      </c>
      <c r="E310" s="9" t="s">
        <v>251</v>
      </c>
      <c r="F310" s="44" t="s">
        <v>89</v>
      </c>
    </row>
    <row r="311" spans="1:8" ht="15" customHeight="1">
      <c r="A311" s="24">
        <v>1</v>
      </c>
      <c r="B311" s="39">
        <v>44233</v>
      </c>
      <c r="C311" s="7">
        <f>C306*$C$212</f>
        <v>600</v>
      </c>
      <c r="D311" s="7">
        <f>C309-C311</f>
        <v>600.00029380663545</v>
      </c>
      <c r="E311" s="7">
        <f>C311+D311</f>
        <v>1200.0002938066355</v>
      </c>
      <c r="F311" s="7">
        <f>C306-D311</f>
        <v>9399.9997061933645</v>
      </c>
    </row>
    <row r="312" spans="1:8" ht="15" customHeight="1">
      <c r="A312" s="24">
        <v>2</v>
      </c>
      <c r="B312" s="39">
        <v>44261</v>
      </c>
      <c r="C312" s="7">
        <f>F311*$C$212</f>
        <v>563.99998237160185</v>
      </c>
      <c r="D312" s="7">
        <f>E311-C312</f>
        <v>636.00031143503361</v>
      </c>
      <c r="E312" s="7">
        <f t="shared" ref="E312" si="69">C312+D312</f>
        <v>1200.0002938066355</v>
      </c>
      <c r="F312" s="7">
        <f t="shared" ref="F312:F321" si="70">F311-D312</f>
        <v>8763.9993947583316</v>
      </c>
    </row>
    <row r="313" spans="1:8" ht="15" customHeight="1">
      <c r="A313" s="24">
        <v>3</v>
      </c>
      <c r="B313" s="39">
        <v>44292</v>
      </c>
      <c r="C313" s="7">
        <f>F312*$C$212</f>
        <v>525.83996368549992</v>
      </c>
      <c r="D313" s="7">
        <f t="shared" ref="D313:D321" si="71">E312-C313</f>
        <v>674.16033012113553</v>
      </c>
      <c r="E313" s="7">
        <f>C313+D313</f>
        <v>1200.0002938066355</v>
      </c>
      <c r="F313" s="7">
        <f t="shared" si="70"/>
        <v>8089.8390646371963</v>
      </c>
    </row>
    <row r="314" spans="1:8" ht="15" customHeight="1">
      <c r="A314" s="24">
        <v>4</v>
      </c>
      <c r="B314" s="39">
        <v>44322</v>
      </c>
      <c r="C314" s="7">
        <f>F313*$C$212</f>
        <v>485.39034387823176</v>
      </c>
      <c r="D314" s="7">
        <f t="shared" si="71"/>
        <v>714.60994992840369</v>
      </c>
      <c r="E314" s="7">
        <f t="shared" ref="E314:E322" si="72">C314+D314</f>
        <v>1200.0002938066355</v>
      </c>
      <c r="F314" s="7">
        <f t="shared" si="70"/>
        <v>7375.2291147087926</v>
      </c>
    </row>
    <row r="315" spans="1:8" ht="15" customHeight="1">
      <c r="A315" s="24">
        <v>5</v>
      </c>
      <c r="B315" s="39">
        <v>44353</v>
      </c>
      <c r="C315" s="7">
        <f>F314*$C$212</f>
        <v>442.51374688252753</v>
      </c>
      <c r="D315" s="7">
        <f t="shared" si="71"/>
        <v>757.48654692410787</v>
      </c>
      <c r="E315" s="7">
        <f t="shared" si="72"/>
        <v>1200.0002938066355</v>
      </c>
      <c r="F315" s="7">
        <f t="shared" si="70"/>
        <v>6617.742567784685</v>
      </c>
    </row>
    <row r="316" spans="1:8" ht="15" customHeight="1">
      <c r="A316" s="24">
        <v>6</v>
      </c>
      <c r="B316" s="39">
        <v>44383</v>
      </c>
      <c r="C316" s="7">
        <f>F315*$C$212</f>
        <v>397.06455406708108</v>
      </c>
      <c r="D316" s="7">
        <f t="shared" si="71"/>
        <v>802.93573973955438</v>
      </c>
      <c r="E316" s="7">
        <f t="shared" si="72"/>
        <v>1200.0002938066355</v>
      </c>
      <c r="F316" s="7">
        <f t="shared" si="70"/>
        <v>5814.8068280451307</v>
      </c>
    </row>
    <row r="317" spans="1:8" ht="15" customHeight="1">
      <c r="A317" s="24">
        <v>7</v>
      </c>
      <c r="B317" s="39">
        <v>44414</v>
      </c>
      <c r="C317" s="7">
        <f t="shared" ref="C317:C322" si="73">F316*$C$212</f>
        <v>348.88840968270785</v>
      </c>
      <c r="D317" s="7">
        <f t="shared" si="71"/>
        <v>851.11188412392767</v>
      </c>
      <c r="E317" s="7">
        <f t="shared" si="72"/>
        <v>1200.0002938066355</v>
      </c>
      <c r="F317" s="7">
        <f t="shared" si="70"/>
        <v>4963.694943921203</v>
      </c>
    </row>
    <row r="318" spans="1:8" ht="15" customHeight="1">
      <c r="A318" s="24">
        <v>8</v>
      </c>
      <c r="B318" s="39">
        <v>44445</v>
      </c>
      <c r="C318" s="7">
        <f t="shared" si="73"/>
        <v>297.82169663527219</v>
      </c>
      <c r="D318" s="7">
        <f t="shared" si="71"/>
        <v>902.17859717136321</v>
      </c>
      <c r="E318" s="7">
        <f t="shared" si="72"/>
        <v>1200.0002938066355</v>
      </c>
      <c r="F318" s="7">
        <f t="shared" si="70"/>
        <v>4061.5163467498396</v>
      </c>
    </row>
    <row r="319" spans="1:8" ht="15" customHeight="1">
      <c r="A319" s="24">
        <v>9</v>
      </c>
      <c r="B319" s="39">
        <v>44475</v>
      </c>
      <c r="C319" s="7">
        <f t="shared" si="73"/>
        <v>243.69098080499037</v>
      </c>
      <c r="D319" s="7">
        <f t="shared" si="71"/>
        <v>956.30931300164502</v>
      </c>
      <c r="E319" s="7">
        <f t="shared" si="72"/>
        <v>1200.0002938066355</v>
      </c>
      <c r="F319" s="7">
        <f t="shared" si="70"/>
        <v>3105.2070337481946</v>
      </c>
    </row>
    <row r="320" spans="1:8" ht="15" customHeight="1">
      <c r="A320" s="24">
        <v>10</v>
      </c>
      <c r="B320" s="39">
        <v>44506</v>
      </c>
      <c r="C320" s="7">
        <f t="shared" si="73"/>
        <v>186.31242202489167</v>
      </c>
      <c r="D320" s="7">
        <f t="shared" si="71"/>
        <v>1013.6878717817438</v>
      </c>
      <c r="E320" s="7">
        <f t="shared" si="72"/>
        <v>1200.0002938066355</v>
      </c>
      <c r="F320" s="7">
        <f t="shared" si="70"/>
        <v>2091.5191619664511</v>
      </c>
    </row>
    <row r="321" spans="1:8" ht="15" customHeight="1">
      <c r="A321" s="22">
        <v>11</v>
      </c>
      <c r="B321" s="39">
        <v>44536</v>
      </c>
      <c r="C321" s="7">
        <f t="shared" si="73"/>
        <v>125.49114971798706</v>
      </c>
      <c r="D321" s="7">
        <f t="shared" si="71"/>
        <v>1074.5091440886483</v>
      </c>
      <c r="E321" s="7">
        <f t="shared" si="72"/>
        <v>1200.0002938066355</v>
      </c>
      <c r="F321" s="7">
        <f t="shared" si="70"/>
        <v>1017.0100178778027</v>
      </c>
    </row>
    <row r="322" spans="1:8" ht="15" customHeight="1">
      <c r="A322" s="22">
        <v>12</v>
      </c>
      <c r="B322" s="39">
        <v>44567</v>
      </c>
      <c r="C322" s="7">
        <f t="shared" si="73"/>
        <v>61.020601072668164</v>
      </c>
      <c r="D322" s="7">
        <f>E321-C322</f>
        <v>1138.9796927339673</v>
      </c>
      <c r="E322" s="7">
        <f t="shared" si="72"/>
        <v>1200.0002938066355</v>
      </c>
      <c r="F322" s="7">
        <f>F321-D322+108.24+F309</f>
        <v>3.2514383539350433E-4</v>
      </c>
    </row>
    <row r="323" spans="1:8" ht="15" customHeight="1">
      <c r="A323" s="975" t="s">
        <v>549</v>
      </c>
      <c r="B323" s="976"/>
      <c r="C323" s="976"/>
      <c r="D323" s="976"/>
      <c r="E323" s="976"/>
      <c r="F323" s="977"/>
    </row>
    <row r="324" spans="1:8" ht="15" customHeight="1">
      <c r="A324" s="26" t="s">
        <v>582</v>
      </c>
      <c r="B324" s="26" t="s">
        <v>535</v>
      </c>
      <c r="C324" s="7" t="s">
        <v>536</v>
      </c>
      <c r="D324" s="9" t="s">
        <v>573</v>
      </c>
      <c r="E324" s="9">
        <v>28.92</v>
      </c>
      <c r="F324" s="86">
        <v>44204</v>
      </c>
    </row>
    <row r="325" spans="1:8" ht="15" customHeight="1">
      <c r="A325" s="972" t="s">
        <v>583</v>
      </c>
      <c r="B325" s="7" t="s">
        <v>119</v>
      </c>
      <c r="C325" s="7">
        <v>40000</v>
      </c>
      <c r="D325" s="7"/>
      <c r="E325" s="8" t="s">
        <v>539</v>
      </c>
      <c r="F325" s="8">
        <f>C327*C328</f>
        <v>57600.014102718502</v>
      </c>
    </row>
    <row r="326" spans="1:8" ht="15" customHeight="1">
      <c r="A326" s="973"/>
      <c r="B326" s="7" t="s">
        <v>540</v>
      </c>
      <c r="C326" s="14">
        <v>0.06</v>
      </c>
      <c r="D326" s="8"/>
      <c r="E326" s="5" t="s">
        <v>541</v>
      </c>
      <c r="F326" s="8">
        <f>C325*(1+C326)^C327</f>
        <v>80487.858873422068</v>
      </c>
    </row>
    <row r="327" spans="1:8" ht="15" customHeight="1">
      <c r="A327" s="973"/>
      <c r="B327" s="7" t="s">
        <v>542</v>
      </c>
      <c r="C327" s="9">
        <v>12</v>
      </c>
      <c r="D327" s="42"/>
      <c r="E327" s="10" t="s">
        <v>543</v>
      </c>
      <c r="F327" s="43">
        <f>SUM(C330:C341)</f>
        <v>17112.135403293836</v>
      </c>
      <c r="H327" s="2"/>
    </row>
    <row r="328" spans="1:8" ht="15" customHeight="1">
      <c r="A328" s="974"/>
      <c r="B328" s="7" t="s">
        <v>544</v>
      </c>
      <c r="C328" s="7">
        <f>C325*C326+C325*C326/((1+C326)^C327-1)+E324</f>
        <v>4800.0011752265418</v>
      </c>
      <c r="D328" s="45"/>
      <c r="E328" s="8" t="s">
        <v>537</v>
      </c>
      <c r="F328" s="8">
        <v>379.64</v>
      </c>
      <c r="H328">
        <f>4771.08-4800</f>
        <v>-28.920000000000073</v>
      </c>
    </row>
    <row r="329" spans="1:8" ht="15" customHeight="1">
      <c r="A329" s="26" t="s">
        <v>545</v>
      </c>
      <c r="B329" s="7" t="s">
        <v>546</v>
      </c>
      <c r="C329" s="9" t="s">
        <v>547</v>
      </c>
      <c r="D329" s="44" t="s">
        <v>548</v>
      </c>
      <c r="E329" s="9" t="s">
        <v>251</v>
      </c>
      <c r="F329" s="44" t="s">
        <v>89</v>
      </c>
    </row>
    <row r="330" spans="1:8" ht="15" customHeight="1">
      <c r="A330" s="24">
        <v>1</v>
      </c>
      <c r="B330" s="39">
        <v>44235</v>
      </c>
      <c r="C330" s="7">
        <f>C325*$C$212</f>
        <v>2400</v>
      </c>
      <c r="D330" s="7">
        <f>C328-C330</f>
        <v>2400.0011752265418</v>
      </c>
      <c r="E330" s="7">
        <f>C330+D330</f>
        <v>4800.0011752265418</v>
      </c>
      <c r="F330" s="7">
        <f>C325-D330</f>
        <v>37599.998824773458</v>
      </c>
    </row>
    <row r="331" spans="1:8" ht="15" customHeight="1">
      <c r="A331" s="24">
        <v>2</v>
      </c>
      <c r="B331" s="39">
        <v>44263</v>
      </c>
      <c r="C331" s="7">
        <f>F330*$C$212</f>
        <v>2255.9999294864074</v>
      </c>
      <c r="D331" s="7">
        <f>E330-C331</f>
        <v>2544.0012457401344</v>
      </c>
      <c r="E331" s="7">
        <f t="shared" ref="E331" si="74">C331+D331</f>
        <v>4800.0011752265418</v>
      </c>
      <c r="F331" s="7">
        <f t="shared" ref="F331:F340" si="75">F330-D331</f>
        <v>35055.997579033326</v>
      </c>
    </row>
    <row r="332" spans="1:8" ht="15" customHeight="1">
      <c r="A332" s="24">
        <v>3</v>
      </c>
      <c r="B332" s="39">
        <v>44294</v>
      </c>
      <c r="C332" s="7">
        <f>F331*$C$212</f>
        <v>2103.3598547419997</v>
      </c>
      <c r="D332" s="7">
        <f t="shared" ref="D332:D340" si="76">E331-C332</f>
        <v>2696.6413204845421</v>
      </c>
      <c r="E332" s="7">
        <f>C332+D332</f>
        <v>4800.0011752265418</v>
      </c>
      <c r="F332" s="7">
        <f t="shared" si="75"/>
        <v>32359.356258548785</v>
      </c>
    </row>
    <row r="333" spans="1:8" ht="15" customHeight="1">
      <c r="A333" s="24">
        <v>4</v>
      </c>
      <c r="B333" s="39">
        <v>44324</v>
      </c>
      <c r="C333" s="7">
        <f>F332*$C$212</f>
        <v>1941.561375512927</v>
      </c>
      <c r="D333" s="7">
        <f t="shared" si="76"/>
        <v>2858.4397997136148</v>
      </c>
      <c r="E333" s="7">
        <f t="shared" ref="E333:E341" si="77">C333+D333</f>
        <v>4800.0011752265418</v>
      </c>
      <c r="F333" s="7">
        <f t="shared" si="75"/>
        <v>29500.91645883517</v>
      </c>
    </row>
    <row r="334" spans="1:8" ht="15" customHeight="1">
      <c r="A334" s="24">
        <v>5</v>
      </c>
      <c r="B334" s="39">
        <v>44355</v>
      </c>
      <c r="C334" s="7">
        <f>F333*$C$212</f>
        <v>1770.0549875301101</v>
      </c>
      <c r="D334" s="7">
        <f t="shared" si="76"/>
        <v>3029.9461876964315</v>
      </c>
      <c r="E334" s="7">
        <f t="shared" si="77"/>
        <v>4800.0011752265418</v>
      </c>
      <c r="F334" s="7">
        <f t="shared" si="75"/>
        <v>26470.97027113874</v>
      </c>
    </row>
    <row r="335" spans="1:8" ht="15" customHeight="1">
      <c r="A335" s="24">
        <v>6</v>
      </c>
      <c r="B335" s="39">
        <v>44385</v>
      </c>
      <c r="C335" s="7">
        <f>F334*$C$212</f>
        <v>1588.2582162683243</v>
      </c>
      <c r="D335" s="7">
        <f t="shared" si="76"/>
        <v>3211.7429589582175</v>
      </c>
      <c r="E335" s="7">
        <f t="shared" si="77"/>
        <v>4800.0011752265418</v>
      </c>
      <c r="F335" s="7">
        <f t="shared" si="75"/>
        <v>23259.227312180523</v>
      </c>
    </row>
    <row r="336" spans="1:8" ht="15" customHeight="1">
      <c r="A336" s="24">
        <v>7</v>
      </c>
      <c r="B336" s="39">
        <v>44416</v>
      </c>
      <c r="C336" s="7">
        <f t="shared" ref="C336:C341" si="78">F335*$C$212</f>
        <v>1395.5536387308314</v>
      </c>
      <c r="D336" s="7">
        <f t="shared" si="76"/>
        <v>3404.4475364957107</v>
      </c>
      <c r="E336" s="7">
        <f t="shared" si="77"/>
        <v>4800.0011752265418</v>
      </c>
      <c r="F336" s="7">
        <f t="shared" si="75"/>
        <v>19854.779775684812</v>
      </c>
    </row>
    <row r="337" spans="1:8" ht="15" customHeight="1">
      <c r="A337" s="24">
        <v>8</v>
      </c>
      <c r="B337" s="39">
        <v>44447</v>
      </c>
      <c r="C337" s="7">
        <f t="shared" si="78"/>
        <v>1191.2867865410888</v>
      </c>
      <c r="D337" s="7">
        <f t="shared" si="76"/>
        <v>3608.7143886854528</v>
      </c>
      <c r="E337" s="7">
        <f t="shared" si="77"/>
        <v>4800.0011752265418</v>
      </c>
      <c r="F337" s="7">
        <f t="shared" si="75"/>
        <v>16246.065386999358</v>
      </c>
    </row>
    <row r="338" spans="1:8" ht="15" customHeight="1">
      <c r="A338" s="24">
        <v>9</v>
      </c>
      <c r="B338" s="39">
        <v>44477</v>
      </c>
      <c r="C338" s="7">
        <f t="shared" si="78"/>
        <v>974.7639232199615</v>
      </c>
      <c r="D338" s="7">
        <f t="shared" si="76"/>
        <v>3825.2372520065801</v>
      </c>
      <c r="E338" s="7">
        <f t="shared" si="77"/>
        <v>4800.0011752265418</v>
      </c>
      <c r="F338" s="7">
        <f t="shared" si="75"/>
        <v>12420.828134992778</v>
      </c>
    </row>
    <row r="339" spans="1:8" ht="15" customHeight="1">
      <c r="A339" s="24">
        <v>10</v>
      </c>
      <c r="B339" s="39">
        <v>44508</v>
      </c>
      <c r="C339" s="7">
        <f t="shared" si="78"/>
        <v>745.2496880995667</v>
      </c>
      <c r="D339" s="7">
        <f t="shared" si="76"/>
        <v>4054.751487126975</v>
      </c>
      <c r="E339" s="7">
        <f t="shared" si="77"/>
        <v>4800.0011752265418</v>
      </c>
      <c r="F339" s="7">
        <f t="shared" si="75"/>
        <v>8366.0766478658043</v>
      </c>
    </row>
    <row r="340" spans="1:8" ht="15" customHeight="1">
      <c r="A340" s="22">
        <v>11</v>
      </c>
      <c r="B340" s="39">
        <v>44538</v>
      </c>
      <c r="C340" s="7">
        <f t="shared" si="78"/>
        <v>501.96459887194823</v>
      </c>
      <c r="D340" s="7">
        <f t="shared" si="76"/>
        <v>4298.0365763545933</v>
      </c>
      <c r="E340" s="7">
        <f t="shared" si="77"/>
        <v>4800.0011752265418</v>
      </c>
      <c r="F340" s="7">
        <f t="shared" si="75"/>
        <v>4068.040071511211</v>
      </c>
    </row>
    <row r="341" spans="1:8" ht="15" customHeight="1">
      <c r="A341" s="22">
        <v>12</v>
      </c>
      <c r="B341" s="39">
        <v>44569</v>
      </c>
      <c r="C341" s="7">
        <f t="shared" si="78"/>
        <v>244.08240429067266</v>
      </c>
      <c r="D341" s="7">
        <f>E340-C341</f>
        <v>4555.9187709358694</v>
      </c>
      <c r="E341" s="7">
        <f t="shared" si="77"/>
        <v>4800.0011752265418</v>
      </c>
      <c r="F341" s="7">
        <f>F340-D341+108.24+F328</f>
        <v>1.3005753415882282E-3</v>
      </c>
    </row>
    <row r="342" spans="1:8" ht="15" customHeight="1">
      <c r="A342" s="975" t="s">
        <v>549</v>
      </c>
      <c r="B342" s="976"/>
      <c r="C342" s="976"/>
      <c r="D342" s="976"/>
      <c r="E342" s="976"/>
      <c r="F342" s="977"/>
    </row>
    <row r="343" spans="1:8" ht="15" customHeight="1">
      <c r="A343" s="26" t="s">
        <v>584</v>
      </c>
      <c r="B343" s="26" t="s">
        <v>535</v>
      </c>
      <c r="C343" s="7" t="s">
        <v>536</v>
      </c>
      <c r="D343" s="9" t="s">
        <v>573</v>
      </c>
      <c r="E343" s="9">
        <v>3.61</v>
      </c>
      <c r="F343" s="86">
        <v>44331</v>
      </c>
    </row>
    <row r="344" spans="1:8" ht="15" customHeight="1">
      <c r="A344" s="972" t="s">
        <v>583</v>
      </c>
      <c r="B344" s="7" t="s">
        <v>119</v>
      </c>
      <c r="C344" s="7">
        <v>20000</v>
      </c>
      <c r="D344" s="7">
        <v>7.23</v>
      </c>
      <c r="E344" s="8" t="s">
        <v>539</v>
      </c>
      <c r="F344" s="8">
        <f>C346*C347</f>
        <v>28669.807051359254</v>
      </c>
    </row>
    <row r="345" spans="1:8" ht="15" customHeight="1">
      <c r="A345" s="973"/>
      <c r="B345" s="7" t="s">
        <v>540</v>
      </c>
      <c r="C345" s="14">
        <v>0.06</v>
      </c>
      <c r="D345" s="8"/>
      <c r="E345" s="5" t="s">
        <v>541</v>
      </c>
      <c r="F345" s="8">
        <f>C344*(1+C345)^C346</f>
        <v>40243.929436711034</v>
      </c>
    </row>
    <row r="346" spans="1:8" ht="15" customHeight="1">
      <c r="A346" s="973"/>
      <c r="B346" s="7" t="s">
        <v>542</v>
      </c>
      <c r="C346" s="9">
        <v>12</v>
      </c>
      <c r="D346" s="42"/>
      <c r="E346" s="10" t="s">
        <v>543</v>
      </c>
      <c r="F346" s="43">
        <f>SUM(C349:C360)</f>
        <v>8608.9065636371761</v>
      </c>
      <c r="H346" s="2"/>
    </row>
    <row r="347" spans="1:8" ht="15" customHeight="1">
      <c r="A347" s="974"/>
      <c r="B347" s="7" t="s">
        <v>544</v>
      </c>
      <c r="C347" s="7">
        <f>C344*C345+C344*C345/((1+C345)^C346-1)+E343</f>
        <v>2389.150587613271</v>
      </c>
      <c r="D347" s="45"/>
      <c r="E347" s="8" t="s">
        <v>537</v>
      </c>
      <c r="F347" s="8">
        <v>379.64</v>
      </c>
      <c r="H347">
        <f>4771.08-4800</f>
        <v>-28.920000000000073</v>
      </c>
    </row>
    <row r="348" spans="1:8" ht="15" customHeight="1">
      <c r="A348" s="26" t="s">
        <v>545</v>
      </c>
      <c r="B348" s="7" t="s">
        <v>546</v>
      </c>
      <c r="C348" s="9" t="s">
        <v>547</v>
      </c>
      <c r="D348" s="44" t="s">
        <v>548</v>
      </c>
      <c r="E348" s="9" t="s">
        <v>251</v>
      </c>
      <c r="F348" s="44" t="s">
        <v>89</v>
      </c>
    </row>
    <row r="349" spans="1:8" ht="15" customHeight="1">
      <c r="A349" s="24">
        <v>1</v>
      </c>
      <c r="B349" s="39">
        <v>44235</v>
      </c>
      <c r="C349" s="7">
        <f>C344*$C$212</f>
        <v>1200</v>
      </c>
      <c r="D349" s="7">
        <f>C347-C349</f>
        <v>1189.150587613271</v>
      </c>
      <c r="E349" s="7">
        <f>C349+D349</f>
        <v>2389.150587613271</v>
      </c>
      <c r="F349" s="7">
        <f>C344-D349</f>
        <v>18810.849412386728</v>
      </c>
    </row>
    <row r="350" spans="1:8" ht="15" customHeight="1">
      <c r="A350" s="24">
        <v>2</v>
      </c>
      <c r="B350" s="39">
        <v>44263</v>
      </c>
      <c r="C350" s="7">
        <f>F349*$C$212</f>
        <v>1128.6509647432035</v>
      </c>
      <c r="D350" s="7">
        <f>E349-C350</f>
        <v>1260.4996228700675</v>
      </c>
      <c r="E350" s="7">
        <f t="shared" ref="E350" si="79">C350+D350</f>
        <v>2389.150587613271</v>
      </c>
      <c r="F350" s="7">
        <f t="shared" ref="F350:F359" si="80">F349-D350</f>
        <v>17550.349789516658</v>
      </c>
    </row>
    <row r="351" spans="1:8" ht="15" customHeight="1">
      <c r="A351" s="24">
        <v>3</v>
      </c>
      <c r="B351" s="39">
        <v>44294</v>
      </c>
      <c r="C351" s="7">
        <f>F350*$C$212</f>
        <v>1053.0209873709994</v>
      </c>
      <c r="D351" s="7">
        <f t="shared" ref="D351:D359" si="81">E350-C351</f>
        <v>1336.1296002422716</v>
      </c>
      <c r="E351" s="7">
        <f>C351+D351</f>
        <v>2389.150587613271</v>
      </c>
      <c r="F351" s="7">
        <f t="shared" si="80"/>
        <v>16214.220189274387</v>
      </c>
    </row>
    <row r="352" spans="1:8" ht="15" customHeight="1">
      <c r="A352" s="24">
        <v>4</v>
      </c>
      <c r="B352" s="39">
        <v>44324</v>
      </c>
      <c r="C352" s="7">
        <f>F351*$C$212</f>
        <v>972.85321135646313</v>
      </c>
      <c r="D352" s="7">
        <f t="shared" si="81"/>
        <v>1416.2973762568079</v>
      </c>
      <c r="E352" s="7">
        <f t="shared" ref="E352:E360" si="82">C352+D352</f>
        <v>2389.150587613271</v>
      </c>
      <c r="F352" s="7">
        <f t="shared" si="80"/>
        <v>14797.92281301758</v>
      </c>
    </row>
    <row r="353" spans="1:50" ht="15" customHeight="1">
      <c r="A353" s="24">
        <v>5</v>
      </c>
      <c r="B353" s="39">
        <v>44355</v>
      </c>
      <c r="C353" s="7">
        <f>F352*$C$212</f>
        <v>887.8753687810547</v>
      </c>
      <c r="D353" s="7">
        <f t="shared" si="81"/>
        <v>1501.2752188322163</v>
      </c>
      <c r="E353" s="7">
        <f t="shared" si="82"/>
        <v>2389.150587613271</v>
      </c>
      <c r="F353" s="7">
        <f t="shared" si="80"/>
        <v>13296.647594185364</v>
      </c>
    </row>
    <row r="354" spans="1:50" ht="15" customHeight="1">
      <c r="A354" s="24">
        <v>6</v>
      </c>
      <c r="B354" s="39">
        <v>44385</v>
      </c>
      <c r="C354" s="7">
        <f>F353*$C$212</f>
        <v>797.79885565112181</v>
      </c>
      <c r="D354" s="7">
        <f t="shared" si="81"/>
        <v>1591.3517319621492</v>
      </c>
      <c r="E354" s="7">
        <f t="shared" si="82"/>
        <v>2389.150587613271</v>
      </c>
      <c r="F354" s="7">
        <f t="shared" si="80"/>
        <v>11705.295862223214</v>
      </c>
    </row>
    <row r="355" spans="1:50" ht="15" customHeight="1">
      <c r="A355" s="24">
        <v>7</v>
      </c>
      <c r="B355" s="39">
        <v>44416</v>
      </c>
      <c r="C355" s="7">
        <f t="shared" ref="C355:C360" si="83">F354*$C$212</f>
        <v>702.31775173339281</v>
      </c>
      <c r="D355" s="7">
        <f t="shared" si="81"/>
        <v>1686.8328358798781</v>
      </c>
      <c r="E355" s="7">
        <f t="shared" si="82"/>
        <v>2389.150587613271</v>
      </c>
      <c r="F355" s="7">
        <f t="shared" si="80"/>
        <v>10018.463026343336</v>
      </c>
    </row>
    <row r="356" spans="1:50" ht="15" customHeight="1">
      <c r="A356" s="24">
        <v>8</v>
      </c>
      <c r="B356" s="39">
        <v>44447</v>
      </c>
      <c r="C356" s="7">
        <f t="shared" si="83"/>
        <v>601.10778158060009</v>
      </c>
      <c r="D356" s="7">
        <f t="shared" si="81"/>
        <v>1788.0428060326708</v>
      </c>
      <c r="E356" s="7">
        <f t="shared" si="82"/>
        <v>2389.150587613271</v>
      </c>
      <c r="F356" s="7">
        <f t="shared" si="80"/>
        <v>8230.4202203106652</v>
      </c>
    </row>
    <row r="357" spans="1:50" ht="15" customHeight="1">
      <c r="A357" s="24">
        <v>9</v>
      </c>
      <c r="B357" s="39">
        <v>44477</v>
      </c>
      <c r="C357" s="7">
        <f t="shared" si="83"/>
        <v>493.82521321863987</v>
      </c>
      <c r="D357" s="7">
        <f t="shared" si="81"/>
        <v>1895.3253743946311</v>
      </c>
      <c r="E357" s="7">
        <f t="shared" si="82"/>
        <v>2389.150587613271</v>
      </c>
      <c r="F357" s="7">
        <f t="shared" si="80"/>
        <v>6335.0948459160336</v>
      </c>
    </row>
    <row r="358" spans="1:50" ht="15" customHeight="1">
      <c r="A358" s="24">
        <v>10</v>
      </c>
      <c r="B358" s="39">
        <v>44508</v>
      </c>
      <c r="C358" s="7">
        <f t="shared" si="83"/>
        <v>380.10569075496198</v>
      </c>
      <c r="D358" s="7">
        <f t="shared" si="81"/>
        <v>2009.0448968583091</v>
      </c>
      <c r="E358" s="7">
        <f t="shared" si="82"/>
        <v>2389.150587613271</v>
      </c>
      <c r="F358" s="7">
        <f t="shared" si="80"/>
        <v>4326.049949057724</v>
      </c>
    </row>
    <row r="359" spans="1:50" ht="15" customHeight="1">
      <c r="A359" s="22">
        <v>11</v>
      </c>
      <c r="B359" s="39">
        <v>44538</v>
      </c>
      <c r="C359" s="7">
        <f t="shared" si="83"/>
        <v>259.56299694346342</v>
      </c>
      <c r="D359" s="7">
        <f t="shared" si="81"/>
        <v>2129.5875906698075</v>
      </c>
      <c r="E359" s="7">
        <f t="shared" si="82"/>
        <v>2389.150587613271</v>
      </c>
      <c r="F359" s="7">
        <f t="shared" si="80"/>
        <v>2196.4623583879165</v>
      </c>
    </row>
    <row r="360" spans="1:50" ht="15" customHeight="1">
      <c r="A360" s="22">
        <v>12</v>
      </c>
      <c r="B360" s="39">
        <v>44569</v>
      </c>
      <c r="C360" s="7">
        <f t="shared" si="83"/>
        <v>131.78774150327499</v>
      </c>
      <c r="D360" s="7">
        <f>E359-C360</f>
        <v>2257.3628461099961</v>
      </c>
      <c r="E360" s="7">
        <f t="shared" si="82"/>
        <v>2389.150587613271</v>
      </c>
      <c r="F360" s="7">
        <f>F359-D360+108.24+F347</f>
        <v>426.97951227792043</v>
      </c>
    </row>
    <row r="361" spans="1:50" ht="15" customHeight="1">
      <c r="A361" s="975" t="s">
        <v>549</v>
      </c>
      <c r="B361" s="976"/>
      <c r="C361" s="976"/>
      <c r="D361" s="976"/>
      <c r="E361" s="976"/>
      <c r="F361" s="977"/>
    </row>
    <row r="362" spans="1:50" ht="12.75" customHeight="1">
      <c r="A362" s="26" t="s">
        <v>584</v>
      </c>
      <c r="B362" s="26" t="s">
        <v>535</v>
      </c>
      <c r="C362" s="7" t="s">
        <v>536</v>
      </c>
      <c r="D362" s="9" t="s">
        <v>585</v>
      </c>
      <c r="E362" s="9">
        <f>2400-2385.54</f>
        <v>14.460000000000036</v>
      </c>
      <c r="F362" s="86">
        <v>44328</v>
      </c>
      <c r="G362" s="1" t="s">
        <v>75</v>
      </c>
      <c r="H362" s="835" t="s">
        <v>76</v>
      </c>
      <c r="I362" s="835" t="s">
        <v>77</v>
      </c>
      <c r="J362" s="3" t="s">
        <v>81</v>
      </c>
      <c r="K362" s="3" t="s">
        <v>82</v>
      </c>
      <c r="L362" s="3" t="s">
        <v>83</v>
      </c>
      <c r="M362" s="3" t="s">
        <v>84</v>
      </c>
      <c r="N362" s="3" t="s">
        <v>85</v>
      </c>
      <c r="O362" s="3" t="s">
        <v>86</v>
      </c>
      <c r="P362" s="3" t="s">
        <v>87</v>
      </c>
      <c r="Q362" s="3" t="s">
        <v>88</v>
      </c>
      <c r="R362" s="23" t="s">
        <v>74</v>
      </c>
      <c r="S362" s="11"/>
      <c r="T362" s="11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</row>
    <row r="363" spans="1:50" ht="12.75" customHeight="1">
      <c r="A363" s="972" t="s">
        <v>586</v>
      </c>
      <c r="B363" s="7" t="s">
        <v>119</v>
      </c>
      <c r="C363" s="7">
        <v>20000</v>
      </c>
      <c r="D363" s="7">
        <v>243.94</v>
      </c>
      <c r="E363" s="8" t="s">
        <v>539</v>
      </c>
      <c r="F363" s="8">
        <f>C365*C366</f>
        <v>28800.007051359251</v>
      </c>
      <c r="G363" s="6"/>
      <c r="J363" s="2"/>
      <c r="K363" s="2"/>
      <c r="L363" s="2"/>
      <c r="M363" s="2"/>
      <c r="N363" s="2"/>
      <c r="O363" s="2"/>
      <c r="P363" s="2"/>
      <c r="Q363" s="2"/>
      <c r="R363" s="11"/>
      <c r="S363" s="11">
        <f>SUM(C363)</f>
        <v>20000</v>
      </c>
      <c r="T363" s="11">
        <f>F363</f>
        <v>28800.007051359251</v>
      </c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</row>
    <row r="364" spans="1:50" ht="12.75" customHeight="1">
      <c r="A364" s="973"/>
      <c r="B364" s="7" t="s">
        <v>540</v>
      </c>
      <c r="C364" s="14">
        <v>0.06</v>
      </c>
      <c r="D364" s="8"/>
      <c r="E364" s="5" t="s">
        <v>541</v>
      </c>
      <c r="F364" s="8">
        <f>C363*(1+C364)^C365</f>
        <v>40243.929436711034</v>
      </c>
      <c r="G364" s="6"/>
      <c r="J364" s="2"/>
      <c r="K364" s="2"/>
      <c r="L364" s="2"/>
      <c r="M364" s="2"/>
      <c r="N364" s="2"/>
      <c r="O364" s="2"/>
      <c r="P364" s="2"/>
      <c r="Q364" s="2"/>
      <c r="R364" s="11"/>
      <c r="S364" s="11"/>
      <c r="T364" s="11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</row>
    <row r="365" spans="1:50" ht="12.75" customHeight="1">
      <c r="A365" s="973"/>
      <c r="B365" s="7" t="s">
        <v>542</v>
      </c>
      <c r="C365" s="9">
        <v>12</v>
      </c>
      <c r="D365" s="42"/>
      <c r="E365" s="10" t="s">
        <v>543</v>
      </c>
      <c r="F365" s="43">
        <f>SUM(C368:C379)</f>
        <v>8556.0641016469181</v>
      </c>
      <c r="G365" s="6"/>
      <c r="J365" s="2"/>
      <c r="K365" s="2"/>
      <c r="L365" s="2"/>
      <c r="M365" s="2"/>
      <c r="N365" s="2"/>
      <c r="O365" s="2"/>
      <c r="P365" s="2"/>
      <c r="Q365" s="2"/>
      <c r="R365" s="11"/>
      <c r="S365" s="11"/>
      <c r="T365" s="11"/>
      <c r="U365" s="2">
        <f>F365</f>
        <v>8556.0641016469181</v>
      </c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</row>
    <row r="366" spans="1:50" ht="12.75" customHeight="1">
      <c r="A366" s="974"/>
      <c r="B366" s="7" t="s">
        <v>544</v>
      </c>
      <c r="C366" s="7">
        <f>C363*C364+C363*C364/((1+C364)^C365-1)+E362</f>
        <v>2400.0005876132709</v>
      </c>
      <c r="D366" s="45"/>
      <c r="E366" s="8" t="s">
        <v>89</v>
      </c>
      <c r="F366" s="45">
        <f>SUM(G368:R379)</f>
        <v>60520.170623523525</v>
      </c>
      <c r="G366" s="6"/>
      <c r="J366" s="2"/>
      <c r="K366" s="2"/>
      <c r="L366" s="2"/>
      <c r="M366" s="2"/>
      <c r="N366" s="2"/>
      <c r="O366" s="2"/>
      <c r="P366" s="2"/>
      <c r="Q366" s="2"/>
      <c r="R366" s="11"/>
      <c r="S366" s="11"/>
      <c r="T366" s="11"/>
      <c r="V366" s="2">
        <f>F366</f>
        <v>60520.170623523525</v>
      </c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</row>
    <row r="367" spans="1:50" ht="12.75" customHeight="1">
      <c r="A367" s="26" t="s">
        <v>545</v>
      </c>
      <c r="B367" s="7" t="s">
        <v>119</v>
      </c>
      <c r="C367" s="9" t="s">
        <v>547</v>
      </c>
      <c r="D367" s="44" t="s">
        <v>548</v>
      </c>
      <c r="E367" s="9" t="s">
        <v>545</v>
      </c>
      <c r="F367" s="44" t="s">
        <v>89</v>
      </c>
      <c r="G367" s="6"/>
      <c r="J367" s="2"/>
      <c r="K367" s="2"/>
      <c r="L367" s="2"/>
      <c r="M367" s="2"/>
      <c r="N367" s="2"/>
      <c r="O367" s="2"/>
      <c r="P367" s="2"/>
      <c r="Q367" s="2"/>
      <c r="R367" s="11"/>
      <c r="S367" s="11"/>
      <c r="T367" s="11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</row>
    <row r="368" spans="1:50" ht="12.75" customHeight="1">
      <c r="A368" s="226">
        <v>44359</v>
      </c>
      <c r="B368" s="88">
        <v>20000</v>
      </c>
      <c r="C368" s="7">
        <f>B368*$C$117</f>
        <v>1200</v>
      </c>
      <c r="D368" s="7">
        <f>E368-C368</f>
        <v>1200.0005876132709</v>
      </c>
      <c r="E368" s="7">
        <f>$C$366</f>
        <v>2400.0005876132709</v>
      </c>
      <c r="F368" s="7">
        <f>B368-D368</f>
        <v>18799.999412386729</v>
      </c>
      <c r="G368" s="6"/>
      <c r="J368" s="2"/>
      <c r="K368" s="2"/>
      <c r="L368" s="2"/>
      <c r="M368" s="2"/>
      <c r="N368" s="2"/>
      <c r="P368" s="2"/>
      <c r="Q368" s="2"/>
      <c r="R368" s="11"/>
      <c r="S368" s="11"/>
      <c r="T368" s="11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</row>
    <row r="369" spans="1:50" ht="12.75" customHeight="1">
      <c r="A369" s="226">
        <v>44389</v>
      </c>
      <c r="B369" s="88">
        <f>F368</f>
        <v>18799.999412386729</v>
      </c>
      <c r="C369" s="7">
        <f>B369*$C$117</f>
        <v>1127.9999647432037</v>
      </c>
      <c r="D369" s="7">
        <f t="shared" ref="D369:D379" si="84">E369-C369</f>
        <v>1272.0006228700672</v>
      </c>
      <c r="E369" s="7">
        <f t="shared" ref="E369:E379" si="85">$C$366</f>
        <v>2400.0005876132709</v>
      </c>
      <c r="F369" s="7">
        <f t="shared" ref="F369:F379" si="86">B369-D369</f>
        <v>17527.998789516663</v>
      </c>
      <c r="G369" s="6"/>
      <c r="J369" s="2"/>
      <c r="K369" s="2"/>
      <c r="L369" s="2"/>
      <c r="M369" s="2"/>
      <c r="N369" s="2"/>
      <c r="O369" s="2"/>
      <c r="Q369" s="2"/>
      <c r="R369" s="11"/>
      <c r="S369" s="11"/>
      <c r="T369" s="11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</row>
    <row r="370" spans="1:50" ht="12.75" customHeight="1">
      <c r="A370" s="226">
        <v>44420</v>
      </c>
      <c r="B370" s="88">
        <f t="shared" ref="B370:B379" si="87">F369</f>
        <v>17527.998789516663</v>
      </c>
      <c r="C370" s="7">
        <f>B370*$C$117</f>
        <v>1051.6799273709998</v>
      </c>
      <c r="D370" s="7">
        <f t="shared" si="84"/>
        <v>1348.3206602422711</v>
      </c>
      <c r="E370" s="7">
        <f t="shared" si="85"/>
        <v>2400.0005876132709</v>
      </c>
      <c r="F370" s="7">
        <f t="shared" si="86"/>
        <v>16179.678129274393</v>
      </c>
      <c r="G370" s="6"/>
      <c r="J370" s="2"/>
      <c r="K370" s="2"/>
      <c r="L370" s="2"/>
      <c r="M370" s="2"/>
      <c r="N370" s="2"/>
      <c r="O370" s="2"/>
      <c r="P370" s="2"/>
      <c r="R370" s="2"/>
      <c r="S370" s="11"/>
      <c r="T370" s="11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</row>
    <row r="371" spans="1:50" ht="12.75" customHeight="1">
      <c r="A371" s="226">
        <v>44451</v>
      </c>
      <c r="B371" s="88">
        <f t="shared" si="87"/>
        <v>16179.678129274393</v>
      </c>
      <c r="C371" s="7">
        <f>B371*$C$117</f>
        <v>970.78068775646352</v>
      </c>
      <c r="D371" s="7">
        <f t="shared" si="84"/>
        <v>1429.2198998568074</v>
      </c>
      <c r="E371" s="7">
        <f t="shared" si="85"/>
        <v>2400.0005876132709</v>
      </c>
      <c r="F371" s="7">
        <f t="shared" si="86"/>
        <v>14750.458229417585</v>
      </c>
      <c r="G371" s="11"/>
      <c r="J371" s="2"/>
      <c r="K371" s="2"/>
      <c r="L371" s="2"/>
      <c r="M371" s="2"/>
      <c r="N371" s="2"/>
      <c r="O371" s="2"/>
      <c r="P371" s="2"/>
      <c r="Q371" s="2"/>
      <c r="S371" s="11"/>
      <c r="T371" s="11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</row>
    <row r="372" spans="1:50" ht="12.75" customHeight="1">
      <c r="A372" s="226">
        <v>44481</v>
      </c>
      <c r="B372" s="88">
        <f t="shared" si="87"/>
        <v>14750.458229417585</v>
      </c>
      <c r="C372" s="7">
        <f>B372*$C$117</f>
        <v>885.02749376505506</v>
      </c>
      <c r="D372" s="7">
        <f t="shared" si="84"/>
        <v>1514.9730938482157</v>
      </c>
      <c r="E372" s="7">
        <f t="shared" si="85"/>
        <v>2400.0005876132709</v>
      </c>
      <c r="F372" s="7">
        <f t="shared" si="86"/>
        <v>13235.48513556937</v>
      </c>
      <c r="H372" s="6"/>
      <c r="J372" s="2"/>
      <c r="K372" s="2"/>
      <c r="L372" s="2"/>
      <c r="M372" s="2"/>
      <c r="N372" s="2">
        <v>2400</v>
      </c>
      <c r="O372" s="2"/>
      <c r="P372" s="2"/>
      <c r="Q372" s="2"/>
      <c r="R372" s="11"/>
      <c r="S372" s="11"/>
      <c r="T372" s="11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</row>
    <row r="373" spans="1:50" ht="12.75" customHeight="1">
      <c r="A373" s="226">
        <v>44512</v>
      </c>
      <c r="B373" s="88">
        <f t="shared" si="87"/>
        <v>13235.48513556937</v>
      </c>
      <c r="C373" s="7">
        <f t="shared" ref="C373:C379" si="88">B373*$C$117</f>
        <v>794.12910813416215</v>
      </c>
      <c r="D373" s="7">
        <f t="shared" si="84"/>
        <v>1605.8714794791088</v>
      </c>
      <c r="E373" s="7">
        <f t="shared" si="85"/>
        <v>2400.0005876132709</v>
      </c>
      <c r="F373" s="7">
        <f t="shared" si="86"/>
        <v>11629.613656090261</v>
      </c>
      <c r="G373" s="6">
        <f>SUM(B377:B379)</f>
        <v>12671.412427184896</v>
      </c>
      <c r="H373">
        <f>2400*3</f>
        <v>7200</v>
      </c>
      <c r="J373" s="2"/>
      <c r="K373" s="2"/>
      <c r="L373" s="2"/>
      <c r="M373" s="2"/>
      <c r="N373" s="2"/>
      <c r="O373" s="2">
        <v>2400</v>
      </c>
      <c r="P373" s="2"/>
      <c r="Q373" s="2"/>
      <c r="R373" s="11"/>
      <c r="S373" s="11"/>
      <c r="T373" s="11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</row>
    <row r="374" spans="1:50" ht="12.75" customHeight="1">
      <c r="A374" s="226">
        <v>44542</v>
      </c>
      <c r="B374" s="88">
        <f t="shared" si="87"/>
        <v>11629.613656090261</v>
      </c>
      <c r="C374" s="7">
        <f t="shared" si="88"/>
        <v>697.77681936541569</v>
      </c>
      <c r="D374" s="7">
        <f t="shared" si="84"/>
        <v>1702.2237682478553</v>
      </c>
      <c r="E374" s="7">
        <f t="shared" si="85"/>
        <v>2400.0005876132709</v>
      </c>
      <c r="F374" s="7">
        <f t="shared" si="86"/>
        <v>9927.3898878424061</v>
      </c>
      <c r="G374" s="6"/>
      <c r="H374" s="2">
        <f>SUM(D377:D379)</f>
        <v>6454.3570172087184</v>
      </c>
      <c r="K374" s="2"/>
      <c r="L374" s="2"/>
      <c r="M374" s="2"/>
      <c r="N374" s="2"/>
      <c r="O374" s="2"/>
      <c r="P374" s="2">
        <v>2400</v>
      </c>
      <c r="Q374" s="2"/>
      <c r="R374" s="11"/>
      <c r="S374" s="11"/>
      <c r="T374" s="11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</row>
    <row r="375" spans="1:50" ht="12.75" customHeight="1">
      <c r="A375" s="226">
        <v>44573</v>
      </c>
      <c r="B375" s="88">
        <f t="shared" si="87"/>
        <v>9927.3898878424061</v>
      </c>
      <c r="C375" s="7">
        <f t="shared" si="88"/>
        <v>595.64339327054438</v>
      </c>
      <c r="D375" s="7">
        <f t="shared" si="84"/>
        <v>1804.3571943427264</v>
      </c>
      <c r="E375" s="7">
        <f t="shared" si="85"/>
        <v>2400.0005876132709</v>
      </c>
      <c r="F375" s="7">
        <f t="shared" si="86"/>
        <v>8123.0326934996792</v>
      </c>
      <c r="G375" s="6"/>
      <c r="H375" s="2"/>
      <c r="I375" s="2"/>
      <c r="K375" s="2"/>
      <c r="L375" s="2"/>
      <c r="M375" s="2"/>
      <c r="N375" s="2"/>
      <c r="O375" s="2"/>
      <c r="P375" s="2"/>
      <c r="Q375" s="2">
        <v>2400</v>
      </c>
      <c r="R375" s="11"/>
      <c r="S375" s="11"/>
      <c r="T375" s="11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</row>
    <row r="376" spans="1:50" ht="12.75" customHeight="1">
      <c r="A376" s="226">
        <v>44604</v>
      </c>
      <c r="B376" s="88">
        <f t="shared" si="87"/>
        <v>8123.0326934996792</v>
      </c>
      <c r="C376" s="7">
        <f t="shared" si="88"/>
        <v>487.38196160998075</v>
      </c>
      <c r="D376" s="7">
        <f t="shared" si="84"/>
        <v>1912.61862600329</v>
      </c>
      <c r="E376" s="7">
        <f t="shared" si="85"/>
        <v>2400.0005876132709</v>
      </c>
      <c r="F376" s="7">
        <f t="shared" si="86"/>
        <v>6210.4140674963892</v>
      </c>
      <c r="G376" s="6"/>
      <c r="I376" s="2"/>
      <c r="J376" s="2"/>
      <c r="L376" s="2"/>
      <c r="M376" s="2"/>
      <c r="N376" s="2"/>
      <c r="O376" s="2"/>
      <c r="P376" s="2"/>
      <c r="Q376" s="2"/>
      <c r="R376" s="11">
        <v>2400</v>
      </c>
      <c r="S376" s="11"/>
      <c r="T376" s="11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</row>
    <row r="377" spans="1:50" ht="12.75" customHeight="1">
      <c r="A377" s="226">
        <v>44632</v>
      </c>
      <c r="B377" s="88">
        <f t="shared" si="87"/>
        <v>6210.4140674963892</v>
      </c>
      <c r="C377" s="7">
        <f t="shared" si="88"/>
        <v>372.62484404978335</v>
      </c>
      <c r="D377" s="7">
        <f t="shared" si="84"/>
        <v>2027.3757435634875</v>
      </c>
      <c r="E377" s="7">
        <f t="shared" si="85"/>
        <v>2400.0005876132709</v>
      </c>
      <c r="F377" s="7">
        <f t="shared" si="86"/>
        <v>4183.0383239329021</v>
      </c>
      <c r="G377" s="6">
        <v>2400</v>
      </c>
      <c r="J377" s="2"/>
      <c r="K377" s="2"/>
      <c r="M377" s="2"/>
      <c r="N377" s="2"/>
      <c r="O377" s="2"/>
      <c r="P377" s="2"/>
      <c r="Q377" s="2"/>
      <c r="R377" s="11"/>
      <c r="S377" s="11"/>
      <c r="T377" s="11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</row>
    <row r="378" spans="1:50" ht="12.75" customHeight="1">
      <c r="A378" s="226">
        <v>44663</v>
      </c>
      <c r="B378" s="88">
        <f t="shared" si="87"/>
        <v>4183.0383239329021</v>
      </c>
      <c r="C378" s="7">
        <f t="shared" si="88"/>
        <v>250.98229943597411</v>
      </c>
      <c r="D378" s="7">
        <f t="shared" si="84"/>
        <v>2149.0182881772967</v>
      </c>
      <c r="E378" s="7">
        <f t="shared" si="85"/>
        <v>2400.0005876132709</v>
      </c>
      <c r="F378" s="7">
        <f>B378-D378</f>
        <v>2034.0200357556055</v>
      </c>
      <c r="G378" s="21"/>
      <c r="H378" s="6">
        <v>2400</v>
      </c>
      <c r="I378" s="6"/>
      <c r="J378" s="6"/>
      <c r="K378" s="2"/>
      <c r="L378" s="2"/>
      <c r="N378" s="2"/>
      <c r="O378" s="2"/>
      <c r="P378" s="2"/>
      <c r="Q378" s="2"/>
      <c r="R378" s="11"/>
      <c r="S378" s="11"/>
      <c r="T378" s="11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</row>
    <row r="379" spans="1:50" ht="12.75" customHeight="1">
      <c r="A379" s="226">
        <v>44693</v>
      </c>
      <c r="B379" s="88">
        <f>F378+D363</f>
        <v>2277.9600357556055</v>
      </c>
      <c r="C379" s="7">
        <f>B379*$C$117-E362-0.18</f>
        <v>122.03760214533628</v>
      </c>
      <c r="D379" s="7">
        <f>E379-C379</f>
        <v>2277.9629854679347</v>
      </c>
      <c r="E379" s="7">
        <f t="shared" si="85"/>
        <v>2400.0005876132709</v>
      </c>
      <c r="F379" s="7">
        <f>B379-D379</f>
        <v>-2.9497123291548633E-3</v>
      </c>
      <c r="G379" s="21">
        <f>SUM(D372:D379)</f>
        <v>14994.401179129914</v>
      </c>
      <c r="H379" s="6"/>
      <c r="I379" s="6">
        <v>2400</v>
      </c>
      <c r="J379" s="6"/>
      <c r="K379" s="2"/>
      <c r="L379" s="2"/>
      <c r="M379" s="2"/>
      <c r="O379" s="2"/>
      <c r="P379" s="2"/>
      <c r="Q379" s="2"/>
      <c r="R379" s="11"/>
      <c r="S379" s="11"/>
      <c r="T379" s="11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</row>
    <row r="380" spans="1:50" ht="14.25">
      <c r="A380" s="975" t="s">
        <v>549</v>
      </c>
      <c r="B380" s="976"/>
      <c r="C380" s="976"/>
      <c r="D380" s="976"/>
      <c r="E380" s="976"/>
      <c r="F380" s="977"/>
      <c r="G380" s="6"/>
      <c r="J380" s="2"/>
      <c r="K380" s="2"/>
      <c r="L380" s="2"/>
      <c r="M380" s="2"/>
      <c r="N380" s="2"/>
      <c r="O380" s="2"/>
      <c r="P380" s="2"/>
      <c r="Q380" s="2"/>
      <c r="R380" s="11"/>
      <c r="S380" s="11"/>
      <c r="T380" s="11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</row>
    <row r="381" spans="1:50" ht="15" customHeight="1">
      <c r="A381" s="739"/>
      <c r="B381" s="12"/>
      <c r="C381" s="12"/>
      <c r="D381" s="12"/>
      <c r="E381" s="12"/>
      <c r="F381" s="12"/>
    </row>
    <row r="382" spans="1:50" s="4" customFormat="1" ht="15" customHeight="1">
      <c r="A382"/>
      <c r="B382"/>
      <c r="C382"/>
      <c r="D382"/>
      <c r="E382"/>
      <c r="F382"/>
      <c r="G382" s="835"/>
      <c r="H382" s="835"/>
      <c r="I382" s="835"/>
      <c r="J382" s="835"/>
      <c r="K382" s="835"/>
      <c r="L382" s="835"/>
      <c r="M382" s="835"/>
      <c r="N382" s="835"/>
      <c r="O382" s="835"/>
      <c r="P382" s="835"/>
      <c r="Q382" s="835"/>
      <c r="R382" s="835"/>
      <c r="S382" s="835"/>
      <c r="T382" s="835"/>
      <c r="U382" s="835"/>
      <c r="V382" s="835"/>
      <c r="W382" s="835"/>
      <c r="X382" s="835"/>
      <c r="Y382" s="835"/>
      <c r="Z382" s="835"/>
      <c r="AA382" s="835"/>
      <c r="AB382" s="835"/>
      <c r="AC382" s="835"/>
      <c r="AD382" s="835"/>
      <c r="AE382" s="835"/>
      <c r="AF382" s="835"/>
      <c r="AG382" s="835"/>
      <c r="AH382" s="835"/>
      <c r="AI382" s="835"/>
      <c r="AJ382" s="835"/>
      <c r="AK382" s="835"/>
      <c r="AL382" s="835"/>
      <c r="AM382" s="835"/>
      <c r="AN382" s="835"/>
      <c r="AO382" s="835"/>
      <c r="AP382" s="835"/>
      <c r="AQ382" s="835"/>
      <c r="AR382" s="835"/>
      <c r="AS382" s="835"/>
      <c r="AT382" s="835"/>
      <c r="AU382" s="835"/>
      <c r="AV382" s="835"/>
      <c r="AW382" s="835"/>
      <c r="AX382" s="835"/>
    </row>
    <row r="383" spans="1:50" s="4" customFormat="1" ht="15" customHeight="1">
      <c r="A383"/>
      <c r="B383" t="s">
        <v>587</v>
      </c>
      <c r="C383">
        <v>14986.72</v>
      </c>
      <c r="D383"/>
      <c r="E383" t="s">
        <v>588</v>
      </c>
      <c r="F383">
        <f>(1+0.06)^6</f>
        <v>1.4185191122560006</v>
      </c>
      <c r="G383" s="835"/>
      <c r="H383" s="835"/>
      <c r="I383" s="835"/>
      <c r="J383" s="835"/>
      <c r="K383" s="835"/>
      <c r="L383" s="835"/>
      <c r="M383" s="835"/>
      <c r="N383" s="835"/>
      <c r="O383" s="835"/>
      <c r="P383" s="835"/>
      <c r="Q383" s="835"/>
      <c r="R383" s="835"/>
      <c r="S383" s="835"/>
      <c r="T383" s="835"/>
      <c r="U383" s="835"/>
      <c r="V383" s="835"/>
      <c r="W383" s="835"/>
      <c r="X383" s="835"/>
      <c r="Y383" s="835"/>
      <c r="Z383" s="835"/>
      <c r="AA383" s="835"/>
      <c r="AB383" s="835"/>
      <c r="AC383" s="835"/>
      <c r="AD383" s="835"/>
      <c r="AE383" s="835"/>
      <c r="AF383" s="835"/>
      <c r="AG383" s="835"/>
      <c r="AH383" s="835"/>
      <c r="AI383" s="835"/>
      <c r="AJ383" s="835"/>
      <c r="AK383" s="835"/>
      <c r="AL383" s="835"/>
      <c r="AM383" s="835"/>
      <c r="AN383" s="835"/>
      <c r="AO383" s="835"/>
      <c r="AP383" s="835"/>
      <c r="AQ383" s="835"/>
      <c r="AR383" s="835"/>
      <c r="AS383" s="835"/>
      <c r="AT383" s="835"/>
      <c r="AU383" s="835"/>
      <c r="AV383" s="835"/>
      <c r="AW383" s="835"/>
      <c r="AX383" s="835"/>
    </row>
    <row r="384" spans="1:50" ht="15" customHeight="1">
      <c r="B384" t="s">
        <v>589</v>
      </c>
      <c r="C384">
        <v>6</v>
      </c>
    </row>
    <row r="385" spans="1:25" ht="15" customHeight="1">
      <c r="B385" t="s">
        <v>590</v>
      </c>
      <c r="C385">
        <v>6</v>
      </c>
      <c r="E385" t="s">
        <v>591</v>
      </c>
      <c r="F385">
        <f>C383*((0.06*F383)/(F383-1))</f>
        <v>3047.7387714172824</v>
      </c>
    </row>
    <row r="387" spans="1:25" ht="15" customHeight="1">
      <c r="B387" t="s">
        <v>592</v>
      </c>
      <c r="C387" t="s">
        <v>593</v>
      </c>
    </row>
    <row r="389" spans="1:25" ht="15" customHeight="1">
      <c r="B389" s="835">
        <v>1</v>
      </c>
      <c r="C389">
        <f>C383</f>
        <v>14986.72</v>
      </c>
      <c r="D389" s="6">
        <f>E389-C389</f>
        <v>-11886.72</v>
      </c>
      <c r="E389" s="6">
        <v>3100</v>
      </c>
    </row>
    <row r="390" spans="1:25" ht="15" customHeight="1">
      <c r="B390" s="835">
        <v>2</v>
      </c>
      <c r="E390" s="6">
        <v>3100</v>
      </c>
    </row>
    <row r="391" spans="1:25" ht="15" customHeight="1">
      <c r="B391" s="835">
        <v>3</v>
      </c>
      <c r="E391" s="6">
        <v>3100</v>
      </c>
      <c r="H391" s="6">
        <v>13.28</v>
      </c>
    </row>
    <row r="392" spans="1:25" ht="15" customHeight="1">
      <c r="B392" s="835">
        <v>4</v>
      </c>
      <c r="E392" s="6">
        <v>3100</v>
      </c>
    </row>
    <row r="393" spans="1:25" ht="15" customHeight="1">
      <c r="B393" s="835">
        <v>5</v>
      </c>
      <c r="E393" s="6">
        <v>3100</v>
      </c>
    </row>
    <row r="394" spans="1:25" ht="15" customHeight="1">
      <c r="B394" s="835">
        <v>6</v>
      </c>
      <c r="E394" s="6">
        <v>3100</v>
      </c>
    </row>
    <row r="395" spans="1:25" ht="15" customHeight="1">
      <c r="M395" t="s">
        <v>77</v>
      </c>
      <c r="N395" t="s">
        <v>81</v>
      </c>
      <c r="O395" t="s">
        <v>82</v>
      </c>
      <c r="P395" t="s">
        <v>83</v>
      </c>
      <c r="Q395" t="s">
        <v>84</v>
      </c>
      <c r="R395" t="s">
        <v>85</v>
      </c>
      <c r="S395" t="s">
        <v>86</v>
      </c>
      <c r="T395" t="s">
        <v>87</v>
      </c>
      <c r="U395" t="s">
        <v>88</v>
      </c>
      <c r="V395" t="s">
        <v>74</v>
      </c>
      <c r="W395" t="s">
        <v>75</v>
      </c>
      <c r="X395" t="s">
        <v>76</v>
      </c>
      <c r="Y395" t="s">
        <v>77</v>
      </c>
    </row>
    <row r="396" spans="1:25" s="4" customFormat="1" ht="15" customHeight="1">
      <c r="A396" s="835" t="s">
        <v>594</v>
      </c>
      <c r="B396" t="s">
        <v>595</v>
      </c>
      <c r="C396" s="6">
        <v>10000</v>
      </c>
      <c r="D396"/>
      <c r="E396"/>
      <c r="F396"/>
      <c r="G396" s="835"/>
      <c r="H396" s="835"/>
      <c r="I396" s="835"/>
      <c r="J396" s="835"/>
      <c r="K396" s="835" t="s">
        <v>554</v>
      </c>
      <c r="L396" s="1">
        <v>20000</v>
      </c>
      <c r="M396" s="835"/>
      <c r="N396" s="835"/>
      <c r="O396" s="835"/>
      <c r="P396" s="835"/>
      <c r="Q396" s="835"/>
      <c r="R396" s="835"/>
      <c r="S396" s="835"/>
      <c r="T396" s="835"/>
      <c r="U396" s="835"/>
      <c r="V396" s="835"/>
      <c r="W396" s="835"/>
      <c r="X396" s="835"/>
      <c r="Y396" s="835"/>
    </row>
    <row r="397" spans="1:25" s="4" customFormat="1" ht="15" customHeight="1">
      <c r="A397" s="835" t="s">
        <v>596</v>
      </c>
      <c r="B397" t="s">
        <v>597</v>
      </c>
      <c r="C397">
        <v>3</v>
      </c>
      <c r="D397"/>
      <c r="E397"/>
      <c r="F397"/>
      <c r="G397" s="835"/>
      <c r="H397" s="835"/>
      <c r="I397" s="835"/>
      <c r="J397" s="835"/>
      <c r="K397" s="835" t="s">
        <v>598</v>
      </c>
      <c r="L397" s="1">
        <v>20000</v>
      </c>
      <c r="M397" s="835"/>
      <c r="N397" s="835"/>
      <c r="O397" s="835"/>
      <c r="P397" s="835"/>
      <c r="Q397" s="835"/>
      <c r="R397" s="835"/>
      <c r="S397" s="835"/>
      <c r="T397" s="835"/>
      <c r="U397" s="835"/>
      <c r="V397" s="835"/>
      <c r="W397" s="835"/>
      <c r="X397" s="835"/>
      <c r="Y397" s="835"/>
    </row>
    <row r="398" spans="1:25" ht="15" customHeight="1">
      <c r="A398" s="835" t="s">
        <v>599</v>
      </c>
      <c r="B398" t="s">
        <v>600</v>
      </c>
      <c r="C398" s="189">
        <v>0.01</v>
      </c>
      <c r="K398" t="s">
        <v>554</v>
      </c>
      <c r="L398" s="6">
        <v>10000</v>
      </c>
    </row>
    <row r="399" spans="1:25" ht="15" customHeight="1">
      <c r="A399" s="835" t="s">
        <v>601</v>
      </c>
      <c r="B399" s="835" t="s">
        <v>602</v>
      </c>
      <c r="C399" s="6">
        <f>C396*((0.01*((1+0.01)^C397))/(((1+0.01)^C397)-1))</f>
        <v>3400.2211148147021</v>
      </c>
      <c r="K399" t="s">
        <v>554</v>
      </c>
      <c r="L399" s="6">
        <v>15000</v>
      </c>
    </row>
    <row r="400" spans="1:25" ht="15" customHeight="1">
      <c r="A400" s="835"/>
      <c r="B400" s="835"/>
      <c r="C400" s="6"/>
    </row>
    <row r="401" spans="1:6" ht="15" customHeight="1">
      <c r="A401" s="835" t="s">
        <v>603</v>
      </c>
      <c r="B401" s="835" t="s">
        <v>604</v>
      </c>
      <c r="C401" s="835" t="s">
        <v>605</v>
      </c>
      <c r="D401" s="835" t="s">
        <v>606</v>
      </c>
      <c r="E401" s="835" t="s">
        <v>534</v>
      </c>
      <c r="F401" s="835" t="s">
        <v>59</v>
      </c>
    </row>
    <row r="402" spans="1:6" ht="15" customHeight="1">
      <c r="A402" s="835"/>
      <c r="B402" s="835"/>
      <c r="C402" s="835"/>
      <c r="D402" s="835"/>
      <c r="E402" s="835"/>
      <c r="F402" s="835"/>
    </row>
    <row r="403" spans="1:6" ht="15" customHeight="1">
      <c r="A403" s="835">
        <v>1</v>
      </c>
      <c r="B403" s="1">
        <f>C396</f>
        <v>10000</v>
      </c>
      <c r="C403" s="1">
        <f>B403*C398</f>
        <v>100</v>
      </c>
      <c r="D403" s="1">
        <f>C399-C403</f>
        <v>3300.2211148147021</v>
      </c>
      <c r="E403" s="1">
        <f>C399</f>
        <v>3400.2211148147021</v>
      </c>
      <c r="F403" s="1">
        <f>C396-D403</f>
        <v>6699.7788851852983</v>
      </c>
    </row>
    <row r="404" spans="1:6" ht="15" customHeight="1">
      <c r="A404" s="835">
        <v>2</v>
      </c>
      <c r="B404" s="1">
        <f>F403</f>
        <v>6699.7788851852983</v>
      </c>
      <c r="C404" s="1">
        <f>B404*C398</f>
        <v>66.997788851852988</v>
      </c>
      <c r="D404" s="1">
        <f>E404-C404</f>
        <v>3333.2233259628492</v>
      </c>
      <c r="E404" s="1">
        <f>C399</f>
        <v>3400.2211148147021</v>
      </c>
      <c r="F404" s="1">
        <f>B404-D404</f>
        <v>3366.5555592224491</v>
      </c>
    </row>
    <row r="405" spans="1:6" ht="15" customHeight="1">
      <c r="A405" s="835">
        <v>3</v>
      </c>
      <c r="B405" s="1">
        <f>F404</f>
        <v>3366.5555592224491</v>
      </c>
      <c r="C405" s="1">
        <f>B405*C398</f>
        <v>33.665555592224493</v>
      </c>
      <c r="D405" s="1">
        <f>E405-C405</f>
        <v>3366.5555592224778</v>
      </c>
      <c r="E405" s="1">
        <f>C399</f>
        <v>3400.2211148147021</v>
      </c>
      <c r="F405" s="1">
        <f>B405-D405</f>
        <v>-2.8649083105847239E-11</v>
      </c>
    </row>
    <row r="407" spans="1:6" ht="15" customHeight="1">
      <c r="B407" s="1">
        <f>SUM(B403:B406)</f>
        <v>20066.334444407745</v>
      </c>
      <c r="C407" s="1">
        <f>SUM(C403:C406)</f>
        <v>200.6633444440775</v>
      </c>
      <c r="D407" s="1">
        <f>SUM(D403:D406)</f>
        <v>10000.000000000029</v>
      </c>
      <c r="E407" s="1">
        <f>SUM(E403:E406)</f>
        <v>10200.663344444107</v>
      </c>
      <c r="F407" s="1">
        <f>SUM(F403:F406)</f>
        <v>10066.334444407719</v>
      </c>
    </row>
    <row r="410" spans="1:6" ht="15" customHeight="1">
      <c r="A410" s="835" t="s">
        <v>594</v>
      </c>
      <c r="B410" s="835" t="s">
        <v>595</v>
      </c>
      <c r="C410" s="1">
        <v>15000</v>
      </c>
      <c r="D410" s="835" t="s">
        <v>607</v>
      </c>
      <c r="E410" s="1">
        <f>C410-F410</f>
        <v>13.280000000000655</v>
      </c>
      <c r="F410">
        <v>14986.72</v>
      </c>
    </row>
    <row r="411" spans="1:6" ht="15" customHeight="1">
      <c r="A411" s="835" t="s">
        <v>596</v>
      </c>
      <c r="B411" s="835" t="s">
        <v>542</v>
      </c>
      <c r="C411" s="835">
        <v>3</v>
      </c>
      <c r="D411" t="s">
        <v>585</v>
      </c>
      <c r="E411" s="835">
        <v>0</v>
      </c>
    </row>
    <row r="412" spans="1:6" ht="15" customHeight="1">
      <c r="A412" s="835" t="s">
        <v>599</v>
      </c>
      <c r="B412" s="835" t="s">
        <v>608</v>
      </c>
      <c r="C412" s="190">
        <v>0.06</v>
      </c>
    </row>
    <row r="413" spans="1:6" ht="15" customHeight="1">
      <c r="A413" s="835" t="s">
        <v>601</v>
      </c>
      <c r="B413" s="835" t="s">
        <v>545</v>
      </c>
      <c r="C413" s="1">
        <f>C410*((0.06*((1+0.06)^C411))/(((1+0.06)^C411)-1))-E411</f>
        <v>5611.6471918582665</v>
      </c>
    </row>
    <row r="414" spans="1:6" ht="15" customHeight="1">
      <c r="A414" s="835"/>
      <c r="B414" s="835"/>
      <c r="C414" s="6"/>
    </row>
    <row r="415" spans="1:6" ht="15" customHeight="1">
      <c r="A415" s="835" t="s">
        <v>603</v>
      </c>
      <c r="B415" s="835" t="s">
        <v>604</v>
      </c>
      <c r="C415" s="835" t="s">
        <v>605</v>
      </c>
      <c r="D415" s="835" t="s">
        <v>606</v>
      </c>
      <c r="E415" s="835" t="s">
        <v>534</v>
      </c>
      <c r="F415" s="835" t="s">
        <v>59</v>
      </c>
    </row>
    <row r="416" spans="1:6" ht="15" customHeight="1">
      <c r="A416" s="835"/>
      <c r="B416" s="835"/>
      <c r="C416" s="835"/>
      <c r="D416" s="835"/>
      <c r="E416" s="835"/>
      <c r="F416" s="835"/>
    </row>
    <row r="417" spans="1:6" ht="15" customHeight="1">
      <c r="A417" s="835">
        <v>1</v>
      </c>
      <c r="B417" s="1">
        <f>C410</f>
        <v>15000</v>
      </c>
      <c r="C417" s="1">
        <f t="shared" ref="C417:C422" si="89">B417*$C$412</f>
        <v>900</v>
      </c>
      <c r="D417" s="1">
        <f>C413-C417</f>
        <v>4711.6471918582665</v>
      </c>
      <c r="E417" s="1">
        <f t="shared" ref="E417:E422" si="90">$C$413</f>
        <v>5611.6471918582665</v>
      </c>
      <c r="F417" s="1">
        <f>C410-D417</f>
        <v>10288.352808141733</v>
      </c>
    </row>
    <row r="418" spans="1:6" ht="15" customHeight="1">
      <c r="A418" s="835">
        <v>2</v>
      </c>
      <c r="B418" s="1">
        <f>F417</f>
        <v>10288.352808141733</v>
      </c>
      <c r="C418" s="1">
        <f t="shared" si="89"/>
        <v>617.301168488504</v>
      </c>
      <c r="D418" s="1">
        <f>E418-C418</f>
        <v>4994.3460233697624</v>
      </c>
      <c r="E418" s="1">
        <f t="shared" si="90"/>
        <v>5611.6471918582665</v>
      </c>
      <c r="F418" s="1">
        <f>B418-D418</f>
        <v>5294.0067847719711</v>
      </c>
    </row>
    <row r="419" spans="1:6" ht="15" customHeight="1">
      <c r="A419" s="835">
        <v>3</v>
      </c>
      <c r="B419" s="1">
        <f>F418</f>
        <v>5294.0067847719711</v>
      </c>
      <c r="C419" s="1">
        <f t="shared" si="89"/>
        <v>317.64040708631825</v>
      </c>
      <c r="D419" s="1">
        <f>E419-C419</f>
        <v>5294.0067847719483</v>
      </c>
      <c r="E419" s="1">
        <f t="shared" si="90"/>
        <v>5611.6471918582665</v>
      </c>
      <c r="F419" s="1">
        <f>B419-D419</f>
        <v>2.2737367544323206E-11</v>
      </c>
    </row>
    <row r="420" spans="1:6" ht="15" customHeight="1">
      <c r="A420" s="835">
        <v>4</v>
      </c>
      <c r="B420" s="1">
        <f>F419</f>
        <v>2.2737367544323206E-11</v>
      </c>
      <c r="C420" s="1">
        <f t="shared" si="89"/>
        <v>1.3642420526593924E-12</v>
      </c>
      <c r="D420" s="1">
        <f>E420-C420</f>
        <v>5611.6471918582647</v>
      </c>
      <c r="E420" s="1">
        <f t="shared" si="90"/>
        <v>5611.6471918582665</v>
      </c>
      <c r="F420" s="1">
        <f>B420-D420</f>
        <v>-5611.647191858242</v>
      </c>
    </row>
    <row r="421" spans="1:6" ht="15" customHeight="1">
      <c r="A421" s="835">
        <v>5</v>
      </c>
      <c r="B421" s="1">
        <f>F420</f>
        <v>-5611.647191858242</v>
      </c>
      <c r="C421" s="1">
        <f t="shared" si="89"/>
        <v>-336.69883151149452</v>
      </c>
      <c r="D421" s="1">
        <f>E421-C421</f>
        <v>5948.3460233697606</v>
      </c>
      <c r="E421" s="1">
        <f t="shared" si="90"/>
        <v>5611.6471918582665</v>
      </c>
      <c r="F421" s="1">
        <f>B421-D421</f>
        <v>-11559.993215228002</v>
      </c>
    </row>
    <row r="422" spans="1:6" ht="15" customHeight="1">
      <c r="A422" s="835">
        <v>6</v>
      </c>
      <c r="B422" s="1">
        <f>F421</f>
        <v>-11559.993215228002</v>
      </c>
      <c r="C422" s="1">
        <f t="shared" si="89"/>
        <v>-693.59959291368011</v>
      </c>
      <c r="D422" s="1">
        <f>E422-C422</f>
        <v>6305.2467847719463</v>
      </c>
      <c r="E422" s="1">
        <f t="shared" si="90"/>
        <v>5611.6471918582665</v>
      </c>
      <c r="F422" s="1">
        <f>B422-D422</f>
        <v>-17865.239999999947</v>
      </c>
    </row>
    <row r="424" spans="1:6" ht="15" customHeight="1">
      <c r="B424" s="1">
        <f>SUM(B417:B423)</f>
        <v>13410.719185827478</v>
      </c>
      <c r="C424" s="1">
        <f>SUM(C417:C423)</f>
        <v>804.64315114964904</v>
      </c>
      <c r="D424" s="1">
        <f>SUM(D417:D423)</f>
        <v>32865.239999999947</v>
      </c>
      <c r="E424" s="1">
        <f>SUM(E417:E423)</f>
        <v>33669.883151149603</v>
      </c>
      <c r="F424" s="1">
        <f>SUM(F417:F423)</f>
        <v>-19454.520814172465</v>
      </c>
    </row>
  </sheetData>
  <mergeCells count="40">
    <mergeCell ref="A2:A5"/>
    <mergeCell ref="A19:F19"/>
    <mergeCell ref="A249:A252"/>
    <mergeCell ref="A266:F266"/>
    <mergeCell ref="A230:A233"/>
    <mergeCell ref="A247:F247"/>
    <mergeCell ref="A114:F114"/>
    <mergeCell ref="A190:F190"/>
    <mergeCell ref="A192:A195"/>
    <mergeCell ref="A209:F209"/>
    <mergeCell ref="A173:A176"/>
    <mergeCell ref="A211:A214"/>
    <mergeCell ref="A228:F228"/>
    <mergeCell ref="A38:F38"/>
    <mergeCell ref="A21:A24"/>
    <mergeCell ref="A133:F133"/>
    <mergeCell ref="A135:A138"/>
    <mergeCell ref="A152:F152"/>
    <mergeCell ref="A171:F171"/>
    <mergeCell ref="A76:F76"/>
    <mergeCell ref="A40:A43"/>
    <mergeCell ref="A57:F57"/>
    <mergeCell ref="A154:A157"/>
    <mergeCell ref="A78:A81"/>
    <mergeCell ref="A95:F95"/>
    <mergeCell ref="A97:A100"/>
    <mergeCell ref="A59:A62"/>
    <mergeCell ref="A116:A119"/>
    <mergeCell ref="A304:F304"/>
    <mergeCell ref="A268:A271"/>
    <mergeCell ref="A285:F285"/>
    <mergeCell ref="A306:A309"/>
    <mergeCell ref="A323:F323"/>
    <mergeCell ref="A287:A290"/>
    <mergeCell ref="A344:A347"/>
    <mergeCell ref="A361:F361"/>
    <mergeCell ref="A363:A366"/>
    <mergeCell ref="A380:F380"/>
    <mergeCell ref="A325:A328"/>
    <mergeCell ref="A342:F342"/>
  </mergeCells>
  <phoneticPr fontId="18" type="noConversion"/>
  <pageMargins left="0" right="0" top="0" bottom="0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9D3D0-BF42-44DD-8B90-B8442368BA9B}">
  <dimension ref="A1:S127"/>
  <sheetViews>
    <sheetView topLeftCell="A104" workbookViewId="0">
      <selection activeCell="B130" sqref="B130"/>
    </sheetView>
  </sheetViews>
  <sheetFormatPr defaultColWidth="9.140625" defaultRowHeight="12.75"/>
  <cols>
    <col min="1" max="1" width="10.28515625" bestFit="1" customWidth="1"/>
    <col min="2" max="2" width="31.5703125" bestFit="1" customWidth="1"/>
    <col min="3" max="4" width="9.28515625" bestFit="1" customWidth="1"/>
    <col min="5" max="5" width="9.28515625" style="51" bestFit="1" customWidth="1"/>
    <col min="6" max="6" width="10.7109375" bestFit="1" customWidth="1"/>
    <col min="8" max="8" width="10.140625" bestFit="1" customWidth="1"/>
    <col min="9" max="9" width="10" bestFit="1" customWidth="1"/>
  </cols>
  <sheetData>
    <row r="1" spans="1:19" s="51" customFormat="1">
      <c r="A1" s="51" t="s">
        <v>480</v>
      </c>
      <c r="B1" s="51" t="s">
        <v>609</v>
      </c>
      <c r="C1" s="51" t="s">
        <v>560</v>
      </c>
      <c r="D1" s="51" t="s">
        <v>610</v>
      </c>
      <c r="E1" s="51" t="s">
        <v>611</v>
      </c>
      <c r="J1" s="51">
        <v>11</v>
      </c>
      <c r="K1" s="51">
        <v>14</v>
      </c>
      <c r="L1" s="51">
        <v>25</v>
      </c>
      <c r="M1" s="51">
        <v>2</v>
      </c>
      <c r="N1" s="51">
        <v>1</v>
      </c>
      <c r="O1" s="51">
        <v>3</v>
      </c>
    </row>
    <row r="2" spans="1:19">
      <c r="A2" s="71">
        <v>43766</v>
      </c>
      <c r="B2" t="s">
        <v>552</v>
      </c>
      <c r="C2" s="51"/>
      <c r="D2" s="6">
        <v>2000</v>
      </c>
      <c r="J2">
        <v>13</v>
      </c>
      <c r="K2">
        <v>11</v>
      </c>
      <c r="L2">
        <v>24</v>
      </c>
      <c r="M2">
        <v>1</v>
      </c>
      <c r="N2">
        <v>5</v>
      </c>
      <c r="O2">
        <v>6</v>
      </c>
    </row>
    <row r="3" spans="1:19">
      <c r="A3" s="71">
        <v>43770</v>
      </c>
      <c r="B3" t="s">
        <v>172</v>
      </c>
      <c r="C3" s="51"/>
      <c r="D3" s="6">
        <v>3850</v>
      </c>
      <c r="J3">
        <v>9</v>
      </c>
      <c r="K3">
        <v>11</v>
      </c>
      <c r="L3">
        <v>20</v>
      </c>
      <c r="M3">
        <v>1</v>
      </c>
      <c r="N3">
        <v>4</v>
      </c>
      <c r="O3">
        <v>5</v>
      </c>
    </row>
    <row r="4" spans="1:19">
      <c r="A4" s="71">
        <v>43773</v>
      </c>
      <c r="B4" t="s">
        <v>612</v>
      </c>
      <c r="C4" s="51"/>
      <c r="D4" s="6">
        <v>-499</v>
      </c>
      <c r="J4">
        <v>9</v>
      </c>
      <c r="K4">
        <v>11</v>
      </c>
      <c r="L4">
        <v>19</v>
      </c>
      <c r="M4">
        <v>2</v>
      </c>
      <c r="N4">
        <v>4</v>
      </c>
      <c r="O4">
        <v>6</v>
      </c>
    </row>
    <row r="5" spans="1:19">
      <c r="A5" s="71">
        <v>43773</v>
      </c>
      <c r="B5" t="s">
        <v>153</v>
      </c>
      <c r="C5" s="51"/>
      <c r="D5" s="6">
        <v>-461.4</v>
      </c>
      <c r="J5">
        <v>18</v>
      </c>
      <c r="K5">
        <v>11</v>
      </c>
      <c r="L5">
        <v>29</v>
      </c>
      <c r="M5">
        <v>0</v>
      </c>
      <c r="N5">
        <v>1</v>
      </c>
      <c r="O5">
        <v>1</v>
      </c>
    </row>
    <row r="6" spans="1:19">
      <c r="A6" s="71">
        <v>43780</v>
      </c>
      <c r="B6" t="s">
        <v>566</v>
      </c>
      <c r="C6" s="224" t="s">
        <v>42</v>
      </c>
      <c r="D6" s="6">
        <v>1450</v>
      </c>
      <c r="E6" s="224"/>
      <c r="J6">
        <v>11</v>
      </c>
      <c r="K6">
        <v>15</v>
      </c>
      <c r="L6">
        <v>26</v>
      </c>
      <c r="M6">
        <v>4</v>
      </c>
      <c r="N6">
        <v>1</v>
      </c>
      <c r="O6">
        <v>5</v>
      </c>
    </row>
    <row r="7" spans="1:19">
      <c r="A7" s="71">
        <v>43782</v>
      </c>
      <c r="B7" t="s">
        <v>155</v>
      </c>
      <c r="C7" s="51"/>
      <c r="D7" s="6">
        <v>-443.03</v>
      </c>
      <c r="J7">
        <v>9</v>
      </c>
      <c r="K7">
        <v>14</v>
      </c>
      <c r="L7">
        <v>23</v>
      </c>
      <c r="M7">
        <v>3</v>
      </c>
      <c r="N7">
        <v>4</v>
      </c>
      <c r="O7">
        <v>7</v>
      </c>
    </row>
    <row r="8" spans="1:19">
      <c r="A8" s="71">
        <v>43783</v>
      </c>
      <c r="B8" t="s">
        <v>613</v>
      </c>
      <c r="C8" s="51" t="s">
        <v>614</v>
      </c>
      <c r="D8" s="6">
        <v>-7000</v>
      </c>
      <c r="J8">
        <v>11</v>
      </c>
      <c r="K8">
        <v>12</v>
      </c>
      <c r="L8">
        <v>23</v>
      </c>
      <c r="M8">
        <v>2</v>
      </c>
      <c r="N8">
        <v>4</v>
      </c>
      <c r="O8">
        <v>6</v>
      </c>
    </row>
    <row r="9" spans="1:19">
      <c r="A9" s="71">
        <v>43794</v>
      </c>
      <c r="B9" t="s">
        <v>153</v>
      </c>
      <c r="C9" s="51"/>
      <c r="D9" s="6">
        <v>-461.4</v>
      </c>
      <c r="J9">
        <v>18</v>
      </c>
      <c r="K9">
        <v>10</v>
      </c>
      <c r="L9">
        <v>28</v>
      </c>
      <c r="M9">
        <v>0</v>
      </c>
      <c r="N9">
        <v>2</v>
      </c>
      <c r="O9">
        <v>2</v>
      </c>
    </row>
    <row r="10" spans="1:19">
      <c r="A10" s="225">
        <v>43794</v>
      </c>
      <c r="B10" t="s">
        <v>150</v>
      </c>
      <c r="C10" s="51"/>
      <c r="D10" s="6">
        <v>-1414.87</v>
      </c>
    </row>
    <row r="11" spans="1:19">
      <c r="A11" s="225">
        <v>43794</v>
      </c>
      <c r="B11" t="s">
        <v>615</v>
      </c>
      <c r="C11" s="51"/>
      <c r="D11" s="6">
        <v>-1500</v>
      </c>
      <c r="J11">
        <f>SUM(J1:J10)</f>
        <v>109</v>
      </c>
      <c r="K11">
        <f t="shared" ref="K11:S11" si="0">SUM(K1:K10)</f>
        <v>109</v>
      </c>
      <c r="L11">
        <f t="shared" si="0"/>
        <v>217</v>
      </c>
      <c r="M11">
        <f t="shared" si="0"/>
        <v>15</v>
      </c>
      <c r="N11">
        <f t="shared" si="0"/>
        <v>26</v>
      </c>
      <c r="O11">
        <f t="shared" si="0"/>
        <v>41</v>
      </c>
      <c r="P11">
        <f t="shared" si="0"/>
        <v>0</v>
      </c>
      <c r="Q11">
        <f t="shared" si="0"/>
        <v>0</v>
      </c>
      <c r="R11">
        <f t="shared" si="0"/>
        <v>0</v>
      </c>
      <c r="S11">
        <f t="shared" si="0"/>
        <v>0</v>
      </c>
    </row>
    <row r="12" spans="1:19">
      <c r="A12" s="225">
        <v>43809</v>
      </c>
      <c r="B12" t="s">
        <v>613</v>
      </c>
      <c r="C12" s="51" t="s">
        <v>616</v>
      </c>
      <c r="D12" s="6">
        <v>-7000</v>
      </c>
    </row>
    <row r="13" spans="1:19">
      <c r="A13" s="225">
        <v>43814</v>
      </c>
      <c r="B13" t="s">
        <v>556</v>
      </c>
      <c r="C13" s="51"/>
      <c r="D13">
        <v>1200</v>
      </c>
    </row>
    <row r="14" spans="1:19">
      <c r="A14" s="225">
        <v>43814</v>
      </c>
      <c r="B14" t="s">
        <v>554</v>
      </c>
      <c r="C14" s="51"/>
      <c r="D14" s="6">
        <v>8400</v>
      </c>
    </row>
    <row r="15" spans="1:19">
      <c r="A15" s="225">
        <v>43814</v>
      </c>
      <c r="B15" t="s">
        <v>566</v>
      </c>
      <c r="C15" s="51"/>
      <c r="D15" s="6">
        <v>1450</v>
      </c>
    </row>
    <row r="16" spans="1:19">
      <c r="A16" s="71">
        <v>43832</v>
      </c>
      <c r="B16" t="s">
        <v>617</v>
      </c>
      <c r="C16" s="51"/>
      <c r="D16" s="6">
        <v>-501.06</v>
      </c>
    </row>
    <row r="17" spans="1:5">
      <c r="A17" s="71">
        <v>43832</v>
      </c>
      <c r="B17" t="s">
        <v>153</v>
      </c>
      <c r="C17" s="51"/>
      <c r="D17" s="6">
        <v>-461.4</v>
      </c>
    </row>
    <row r="18" spans="1:5">
      <c r="A18" s="71">
        <v>43832</v>
      </c>
      <c r="B18" t="s">
        <v>615</v>
      </c>
      <c r="C18" s="51"/>
      <c r="D18" s="6">
        <v>-17879.3</v>
      </c>
    </row>
    <row r="19" spans="1:5">
      <c r="A19" s="71">
        <v>43833</v>
      </c>
      <c r="B19" t="s">
        <v>172</v>
      </c>
      <c r="C19" s="224" t="s">
        <v>71</v>
      </c>
      <c r="D19" s="6">
        <v>3850</v>
      </c>
      <c r="E19" s="224"/>
    </row>
    <row r="20" spans="1:5">
      <c r="A20" s="71">
        <v>43840</v>
      </c>
      <c r="B20" t="s">
        <v>150</v>
      </c>
      <c r="C20" s="51"/>
      <c r="D20" s="6">
        <v>-1640.3</v>
      </c>
    </row>
    <row r="21" spans="1:5">
      <c r="A21" s="71">
        <v>43840</v>
      </c>
      <c r="B21" t="s">
        <v>613</v>
      </c>
      <c r="C21" s="51" t="s">
        <v>618</v>
      </c>
      <c r="D21" s="6">
        <v>-7000</v>
      </c>
    </row>
    <row r="22" spans="1:5">
      <c r="A22" s="71">
        <v>43848</v>
      </c>
      <c r="B22" t="s">
        <v>598</v>
      </c>
      <c r="C22" s="51"/>
      <c r="D22" s="6">
        <v>2400</v>
      </c>
    </row>
    <row r="23" spans="1:5">
      <c r="A23" s="71">
        <v>43848</v>
      </c>
      <c r="B23" t="s">
        <v>619</v>
      </c>
      <c r="C23" s="51"/>
      <c r="D23" s="6">
        <v>2400</v>
      </c>
    </row>
    <row r="24" spans="1:5">
      <c r="A24" s="71">
        <v>43848</v>
      </c>
      <c r="B24" t="s">
        <v>554</v>
      </c>
      <c r="C24" s="51"/>
      <c r="D24" s="6">
        <v>2400</v>
      </c>
    </row>
    <row r="25" spans="1:5">
      <c r="A25" s="71">
        <v>43848</v>
      </c>
      <c r="B25" t="s">
        <v>554</v>
      </c>
      <c r="C25" s="51"/>
      <c r="D25" s="6">
        <v>1200</v>
      </c>
    </row>
    <row r="26" spans="1:5">
      <c r="A26" s="71">
        <v>43848</v>
      </c>
      <c r="B26" t="s">
        <v>556</v>
      </c>
      <c r="C26" s="51"/>
      <c r="D26" s="6">
        <v>1200</v>
      </c>
    </row>
    <row r="27" spans="1:5">
      <c r="A27" s="71">
        <v>43848</v>
      </c>
      <c r="B27" t="s">
        <v>620</v>
      </c>
      <c r="C27" s="51"/>
      <c r="D27" s="6">
        <v>1450</v>
      </c>
    </row>
    <row r="28" spans="1:5">
      <c r="A28" s="71">
        <v>43849</v>
      </c>
      <c r="B28" t="s">
        <v>150</v>
      </c>
      <c r="C28" s="51"/>
      <c r="D28" s="6">
        <v>-1754.18</v>
      </c>
    </row>
    <row r="29" spans="1:5">
      <c r="A29" s="71">
        <v>43849</v>
      </c>
      <c r="B29" t="s">
        <v>621</v>
      </c>
      <c r="C29" s="51"/>
      <c r="D29">
        <v>-534.91</v>
      </c>
    </row>
    <row r="30" spans="1:5">
      <c r="A30" s="230" t="s">
        <v>622</v>
      </c>
      <c r="B30" t="s">
        <v>623</v>
      </c>
      <c r="C30" s="224" t="s">
        <v>41</v>
      </c>
      <c r="D30" s="6">
        <v>3850</v>
      </c>
      <c r="E30" s="224"/>
    </row>
    <row r="31" spans="1:5">
      <c r="A31" s="71">
        <v>43871</v>
      </c>
      <c r="B31" t="s">
        <v>613</v>
      </c>
      <c r="C31" s="229" t="s">
        <v>624</v>
      </c>
      <c r="D31" s="6">
        <v>-7000</v>
      </c>
      <c r="E31" s="229"/>
    </row>
    <row r="32" spans="1:5">
      <c r="A32" s="71">
        <v>43871</v>
      </c>
      <c r="B32" t="s">
        <v>615</v>
      </c>
      <c r="C32" s="229"/>
      <c r="D32" s="6">
        <v>-14587.81</v>
      </c>
      <c r="E32" s="229"/>
    </row>
    <row r="33" spans="1:5">
      <c r="A33" s="71">
        <v>43871</v>
      </c>
      <c r="B33" t="s">
        <v>617</v>
      </c>
      <c r="C33" s="229"/>
      <c r="D33" s="6">
        <v>-499</v>
      </c>
      <c r="E33" s="229"/>
    </row>
    <row r="34" spans="1:5">
      <c r="A34" s="71">
        <v>43871</v>
      </c>
      <c r="B34" t="s">
        <v>625</v>
      </c>
      <c r="C34" s="229"/>
      <c r="D34" s="6">
        <v>-461.4</v>
      </c>
      <c r="E34" s="229"/>
    </row>
    <row r="35" spans="1:5">
      <c r="A35" s="71">
        <v>43871</v>
      </c>
      <c r="B35" t="s">
        <v>626</v>
      </c>
      <c r="C35" s="229" t="s">
        <v>627</v>
      </c>
      <c r="D35" s="6">
        <v>-645.6</v>
      </c>
      <c r="E35" s="229"/>
    </row>
    <row r="36" spans="1:5">
      <c r="A36" s="71">
        <v>43873</v>
      </c>
      <c r="B36" t="s">
        <v>155</v>
      </c>
      <c r="C36" s="51"/>
      <c r="D36" s="6">
        <v>-538.53</v>
      </c>
    </row>
    <row r="37" spans="1:5">
      <c r="A37" s="71">
        <v>43873</v>
      </c>
      <c r="B37" t="s">
        <v>150</v>
      </c>
      <c r="C37" s="51"/>
      <c r="D37" s="6">
        <v>-317.67</v>
      </c>
    </row>
    <row r="38" spans="1:5">
      <c r="A38" s="71">
        <v>43879</v>
      </c>
      <c r="B38" t="s">
        <v>628</v>
      </c>
      <c r="C38" s="224" t="s">
        <v>64</v>
      </c>
      <c r="D38" s="6">
        <v>2400</v>
      </c>
      <c r="E38" s="224"/>
    </row>
    <row r="39" spans="1:5">
      <c r="A39" s="71"/>
      <c r="B39" t="s">
        <v>629</v>
      </c>
      <c r="C39" s="51"/>
      <c r="D39" s="6">
        <v>2400</v>
      </c>
    </row>
    <row r="40" spans="1:5">
      <c r="A40" s="71"/>
      <c r="B40" t="s">
        <v>630</v>
      </c>
      <c r="C40" s="51"/>
      <c r="D40" s="6">
        <v>2400</v>
      </c>
    </row>
    <row r="41" spans="1:5">
      <c r="A41" s="71"/>
      <c r="B41" t="s">
        <v>630</v>
      </c>
      <c r="C41" s="51"/>
      <c r="D41" s="6">
        <v>1200</v>
      </c>
    </row>
    <row r="42" spans="1:5">
      <c r="A42" s="71"/>
      <c r="B42" t="s">
        <v>631</v>
      </c>
      <c r="C42" s="51"/>
      <c r="D42" s="6">
        <v>1200</v>
      </c>
    </row>
    <row r="43" spans="1:5">
      <c r="A43" s="71"/>
      <c r="B43" t="s">
        <v>632</v>
      </c>
      <c r="C43" s="51"/>
      <c r="D43" s="6">
        <v>1450</v>
      </c>
    </row>
    <row r="44" spans="1:5">
      <c r="A44" s="71">
        <v>43888</v>
      </c>
      <c r="B44" t="s">
        <v>554</v>
      </c>
      <c r="C44" s="51"/>
      <c r="D44" s="6">
        <v>-15000</v>
      </c>
    </row>
    <row r="45" spans="1:5">
      <c r="A45" s="71">
        <v>43892</v>
      </c>
      <c r="B45" t="s">
        <v>633</v>
      </c>
      <c r="C45" s="229" t="s">
        <v>64</v>
      </c>
      <c r="D45" s="6">
        <v>3850</v>
      </c>
      <c r="E45" s="229"/>
    </row>
    <row r="46" spans="1:5">
      <c r="A46" s="71">
        <v>43900</v>
      </c>
      <c r="B46" t="s">
        <v>634</v>
      </c>
      <c r="C46" s="51"/>
      <c r="D46" s="6">
        <v>-10000</v>
      </c>
    </row>
    <row r="47" spans="1:5">
      <c r="A47" s="71"/>
      <c r="B47" t="s">
        <v>613</v>
      </c>
      <c r="C47" s="51"/>
      <c r="D47" s="6">
        <v>-7000</v>
      </c>
    </row>
    <row r="48" spans="1:5">
      <c r="A48" s="71">
        <v>43901</v>
      </c>
      <c r="B48" t="s">
        <v>621</v>
      </c>
      <c r="C48" s="51"/>
      <c r="D48" s="6">
        <v>-820.95</v>
      </c>
    </row>
    <row r="49" spans="1:6">
      <c r="A49" s="71"/>
      <c r="B49" t="s">
        <v>615</v>
      </c>
      <c r="C49" s="51" t="s">
        <v>486</v>
      </c>
      <c r="D49" s="6">
        <v>-1930.21</v>
      </c>
      <c r="F49" s="6">
        <v>-5000</v>
      </c>
    </row>
    <row r="50" spans="1:6">
      <c r="A50" s="71">
        <v>43902</v>
      </c>
      <c r="B50" t="s">
        <v>615</v>
      </c>
      <c r="C50" s="51"/>
      <c r="D50" s="6">
        <v>-3000</v>
      </c>
      <c r="F50" s="6">
        <v>-2000</v>
      </c>
    </row>
    <row r="51" spans="1:6">
      <c r="A51" s="71">
        <v>43904</v>
      </c>
      <c r="B51" t="s">
        <v>615</v>
      </c>
      <c r="C51" s="51"/>
      <c r="D51" s="6">
        <v>-2000</v>
      </c>
      <c r="F51" s="6">
        <f>SUM(D49:D51)</f>
        <v>-6930.21</v>
      </c>
    </row>
    <row r="52" spans="1:6">
      <c r="A52" s="71">
        <v>43906</v>
      </c>
      <c r="B52" t="s">
        <v>635</v>
      </c>
      <c r="C52" s="51"/>
      <c r="D52" s="6">
        <v>-2000</v>
      </c>
    </row>
    <row r="53" spans="1:6">
      <c r="A53" s="71">
        <v>43927</v>
      </c>
      <c r="B53" t="s">
        <v>612</v>
      </c>
      <c r="C53" s="51"/>
      <c r="D53" s="6">
        <v>-501.06</v>
      </c>
    </row>
    <row r="54" spans="1:6">
      <c r="A54" s="71">
        <v>43927</v>
      </c>
      <c r="B54" t="s">
        <v>153</v>
      </c>
      <c r="C54" s="51"/>
      <c r="D54" s="6">
        <v>-461.4</v>
      </c>
    </row>
    <row r="55" spans="1:6">
      <c r="A55" s="71">
        <v>43927</v>
      </c>
      <c r="B55" t="s">
        <v>636</v>
      </c>
      <c r="C55" s="51"/>
      <c r="D55" s="6">
        <v>-15000</v>
      </c>
    </row>
    <row r="56" spans="1:6">
      <c r="A56" s="71">
        <v>43929</v>
      </c>
      <c r="B56" t="s">
        <v>637</v>
      </c>
      <c r="C56" s="51"/>
      <c r="D56" s="6">
        <v>500</v>
      </c>
    </row>
    <row r="57" spans="1:6">
      <c r="A57" s="71">
        <v>43929</v>
      </c>
      <c r="B57" t="s">
        <v>638</v>
      </c>
      <c r="C57" s="51"/>
      <c r="D57" s="6">
        <f>-20000*2</f>
        <v>-40000</v>
      </c>
    </row>
    <row r="58" spans="1:6">
      <c r="A58" s="71">
        <v>43929</v>
      </c>
      <c r="B58" t="s">
        <v>166</v>
      </c>
      <c r="C58" s="229" t="s">
        <v>44</v>
      </c>
      <c r="D58" s="6">
        <v>2400</v>
      </c>
      <c r="E58" s="229"/>
    </row>
    <row r="59" spans="1:6">
      <c r="A59" s="71">
        <v>43931</v>
      </c>
      <c r="B59" t="s">
        <v>613</v>
      </c>
      <c r="C59" s="51" t="s">
        <v>639</v>
      </c>
      <c r="D59" s="6">
        <v>-7000</v>
      </c>
    </row>
    <row r="60" spans="1:6">
      <c r="A60" s="71">
        <v>43934</v>
      </c>
      <c r="B60" t="s">
        <v>640</v>
      </c>
      <c r="C60" s="51"/>
      <c r="D60" s="6">
        <v>-4606.18</v>
      </c>
    </row>
    <row r="61" spans="1:6">
      <c r="A61" s="71">
        <v>43936</v>
      </c>
      <c r="B61" t="s">
        <v>641</v>
      </c>
      <c r="C61" s="51"/>
      <c r="D61" s="6">
        <f>-3342.65*2</f>
        <v>-6685.3</v>
      </c>
    </row>
    <row r="62" spans="1:6">
      <c r="A62" s="71">
        <v>43937</v>
      </c>
      <c r="B62" t="s">
        <v>621</v>
      </c>
      <c r="C62" s="51"/>
      <c r="D62">
        <v>-845.29</v>
      </c>
    </row>
    <row r="63" spans="1:6">
      <c r="A63" s="71">
        <v>43943</v>
      </c>
      <c r="B63" t="s">
        <v>642</v>
      </c>
      <c r="C63" s="51"/>
      <c r="D63" s="6">
        <v>7800</v>
      </c>
    </row>
    <row r="64" spans="1:6">
      <c r="A64" s="71">
        <v>43961</v>
      </c>
      <c r="B64" t="s">
        <v>613</v>
      </c>
      <c r="C64" s="51" t="s">
        <v>643</v>
      </c>
      <c r="D64" s="6">
        <v>-7000</v>
      </c>
    </row>
    <row r="65" spans="1:5">
      <c r="A65" s="71">
        <v>43961</v>
      </c>
      <c r="B65" t="s">
        <v>640</v>
      </c>
      <c r="C65" s="51"/>
      <c r="D65">
        <v>-4606.18</v>
      </c>
    </row>
    <row r="66" spans="1:5">
      <c r="A66" s="71">
        <v>43971</v>
      </c>
      <c r="B66" t="s">
        <v>644</v>
      </c>
      <c r="C66" s="468">
        <v>43979</v>
      </c>
      <c r="D66">
        <v>-559.04</v>
      </c>
      <c r="E66" s="468"/>
    </row>
    <row r="67" spans="1:5">
      <c r="A67" s="71">
        <v>43986</v>
      </c>
      <c r="B67" t="s">
        <v>150</v>
      </c>
      <c r="C67" s="51"/>
      <c r="D67">
        <v>-6030.68</v>
      </c>
    </row>
    <row r="68" spans="1:5">
      <c r="A68" s="71">
        <v>43986</v>
      </c>
      <c r="B68" t="s">
        <v>615</v>
      </c>
      <c r="C68" s="51"/>
      <c r="D68" s="6">
        <v>6000</v>
      </c>
    </row>
    <row r="69" spans="1:5">
      <c r="A69" s="71">
        <v>43989</v>
      </c>
      <c r="B69" t="s">
        <v>25</v>
      </c>
      <c r="C69" s="208">
        <v>80000</v>
      </c>
      <c r="D69" s="6"/>
      <c r="E69" s="208"/>
    </row>
    <row r="70" spans="1:5">
      <c r="A70" s="71">
        <v>44001</v>
      </c>
      <c r="B70" t="s">
        <v>150</v>
      </c>
      <c r="C70" s="51">
        <v>72.37</v>
      </c>
      <c r="D70" s="6"/>
    </row>
    <row r="71" spans="1:5">
      <c r="A71" s="71">
        <v>44048</v>
      </c>
      <c r="B71" t="s">
        <v>645</v>
      </c>
      <c r="C71" s="51"/>
      <c r="D71" s="208">
        <v>15100</v>
      </c>
    </row>
    <row r="72" spans="1:5">
      <c r="A72" s="71">
        <v>44172</v>
      </c>
      <c r="C72" s="208">
        <v>35000</v>
      </c>
      <c r="D72" s="6"/>
      <c r="E72" s="208"/>
    </row>
    <row r="73" spans="1:5">
      <c r="A73" s="71">
        <v>44172</v>
      </c>
      <c r="B73" t="s">
        <v>646</v>
      </c>
      <c r="C73" s="51"/>
      <c r="D73" s="6">
        <v>4200</v>
      </c>
    </row>
    <row r="74" spans="1:5">
      <c r="A74" s="225">
        <v>44194</v>
      </c>
      <c r="B74" t="s">
        <v>647</v>
      </c>
      <c r="C74" s="51"/>
      <c r="D74">
        <v>2762.91</v>
      </c>
    </row>
    <row r="75" spans="1:5">
      <c r="A75" s="71">
        <v>44200</v>
      </c>
      <c r="B75" t="s">
        <v>636</v>
      </c>
      <c r="E75" s="208">
        <v>14000</v>
      </c>
    </row>
    <row r="76" spans="1:5">
      <c r="A76" s="71">
        <v>44200</v>
      </c>
      <c r="B76" t="s">
        <v>648</v>
      </c>
      <c r="E76" s="6">
        <v>50000</v>
      </c>
    </row>
    <row r="77" spans="1:5">
      <c r="A77" s="71">
        <v>44200</v>
      </c>
      <c r="B77" t="s">
        <v>648</v>
      </c>
      <c r="E77" s="6">
        <v>50000</v>
      </c>
    </row>
    <row r="78" spans="1:5">
      <c r="A78" s="71">
        <v>44202</v>
      </c>
      <c r="B78" t="s">
        <v>572</v>
      </c>
      <c r="E78" s="208">
        <v>10000</v>
      </c>
    </row>
    <row r="79" spans="1:5">
      <c r="A79" s="71">
        <v>44207</v>
      </c>
      <c r="B79" t="s">
        <v>150</v>
      </c>
      <c r="E79" s="448">
        <v>2854.93</v>
      </c>
    </row>
    <row r="80" spans="1:5">
      <c r="A80" s="71">
        <v>44211</v>
      </c>
      <c r="B80" t="s">
        <v>649</v>
      </c>
      <c r="E80" s="448">
        <v>642.59</v>
      </c>
    </row>
    <row r="81" spans="1:11">
      <c r="A81" s="71">
        <v>44211</v>
      </c>
      <c r="B81" t="s">
        <v>150</v>
      </c>
      <c r="E81" s="448">
        <v>422.41</v>
      </c>
    </row>
    <row r="82" spans="1:11">
      <c r="A82" s="71">
        <v>44214</v>
      </c>
      <c r="B82" t="s">
        <v>650</v>
      </c>
      <c r="C82" s="835" t="s">
        <v>651</v>
      </c>
      <c r="E82" s="208">
        <v>13446.7</v>
      </c>
      <c r="F82" t="s">
        <v>56</v>
      </c>
      <c r="G82" t="s">
        <v>652</v>
      </c>
      <c r="I82" s="745">
        <v>0.47546296296296298</v>
      </c>
      <c r="J82">
        <v>9001</v>
      </c>
      <c r="K82" s="49" t="s">
        <v>653</v>
      </c>
    </row>
    <row r="83" spans="1:11">
      <c r="A83" s="71">
        <v>44215</v>
      </c>
      <c r="B83" t="s">
        <v>654</v>
      </c>
      <c r="E83" s="242">
        <v>2761</v>
      </c>
      <c r="F83" s="49" t="s">
        <v>156</v>
      </c>
      <c r="G83" s="49" t="s">
        <v>655</v>
      </c>
      <c r="H83" s="49" t="s">
        <v>656</v>
      </c>
      <c r="I83" t="s">
        <v>657</v>
      </c>
    </row>
    <row r="84" spans="1:11">
      <c r="A84" s="71">
        <v>44229</v>
      </c>
      <c r="B84" t="s">
        <v>658</v>
      </c>
      <c r="E84" s="242">
        <v>9826.7999999999993</v>
      </c>
      <c r="F84" s="49"/>
      <c r="G84" s="49"/>
      <c r="H84" s="49"/>
    </row>
    <row r="85" spans="1:11">
      <c r="A85" s="71">
        <v>44229</v>
      </c>
      <c r="B85" t="s">
        <v>617</v>
      </c>
      <c r="E85" s="242">
        <v>559</v>
      </c>
      <c r="F85" s="49"/>
      <c r="G85" s="49"/>
      <c r="H85" s="49"/>
    </row>
    <row r="86" spans="1:11">
      <c r="A86" s="71">
        <v>44229</v>
      </c>
      <c r="B86" t="s">
        <v>625</v>
      </c>
      <c r="E86" s="242">
        <v>461.4</v>
      </c>
      <c r="F86" s="49"/>
      <c r="G86" s="49"/>
      <c r="H86" s="49"/>
    </row>
    <row r="87" spans="1:11">
      <c r="A87" s="71">
        <v>44229</v>
      </c>
      <c r="B87" t="s">
        <v>151</v>
      </c>
      <c r="E87" s="242">
        <v>20000</v>
      </c>
      <c r="F87" s="49"/>
      <c r="G87" s="49"/>
      <c r="H87" s="49"/>
    </row>
    <row r="88" spans="1:11">
      <c r="A88" s="71">
        <v>44229</v>
      </c>
      <c r="B88" t="s">
        <v>48</v>
      </c>
      <c r="E88" s="242">
        <v>5000</v>
      </c>
      <c r="F88" s="49"/>
      <c r="G88" s="49"/>
      <c r="H88" s="49"/>
    </row>
    <row r="89" spans="1:11">
      <c r="A89" s="71">
        <v>44229</v>
      </c>
      <c r="B89" t="s">
        <v>572</v>
      </c>
      <c r="D89" s="6">
        <v>10600</v>
      </c>
      <c r="E89" s="242"/>
      <c r="F89" s="49"/>
      <c r="G89" s="49"/>
      <c r="H89" s="49"/>
    </row>
    <row r="90" spans="1:11">
      <c r="A90" s="71">
        <v>44229</v>
      </c>
      <c r="B90" t="s">
        <v>582</v>
      </c>
      <c r="D90" s="6">
        <v>4800</v>
      </c>
      <c r="E90" s="242"/>
      <c r="F90" s="49"/>
      <c r="G90" s="49"/>
      <c r="H90" s="49"/>
    </row>
    <row r="91" spans="1:11">
      <c r="A91" s="71">
        <v>44231</v>
      </c>
      <c r="B91" t="s">
        <v>659</v>
      </c>
      <c r="C91" s="229" t="s">
        <v>660</v>
      </c>
      <c r="E91" s="242">
        <v>2761</v>
      </c>
    </row>
    <row r="92" spans="1:11">
      <c r="A92" s="71">
        <v>44231</v>
      </c>
      <c r="B92" t="s">
        <v>661</v>
      </c>
      <c r="C92" s="49"/>
      <c r="E92" s="242">
        <v>5859.6</v>
      </c>
    </row>
    <row r="93" spans="1:11">
      <c r="A93" s="71">
        <v>44232</v>
      </c>
      <c r="B93" t="s">
        <v>662</v>
      </c>
      <c r="E93" s="448">
        <v>1108.78</v>
      </c>
    </row>
    <row r="94" spans="1:11">
      <c r="A94" s="71">
        <v>44236</v>
      </c>
      <c r="B94" t="s">
        <v>663</v>
      </c>
      <c r="E94" s="242">
        <v>1630</v>
      </c>
    </row>
    <row r="95" spans="1:11">
      <c r="A95" s="71">
        <v>44237</v>
      </c>
      <c r="B95" t="s">
        <v>613</v>
      </c>
      <c r="C95" s="835" t="s">
        <v>664</v>
      </c>
      <c r="E95" s="242">
        <v>7000</v>
      </c>
    </row>
    <row r="96" spans="1:11">
      <c r="A96" s="71">
        <v>44239</v>
      </c>
      <c r="B96" t="s">
        <v>646</v>
      </c>
      <c r="D96" s="6">
        <v>1200</v>
      </c>
      <c r="E96" s="242"/>
    </row>
    <row r="97" spans="1:6">
      <c r="A97" s="71">
        <v>44239</v>
      </c>
      <c r="B97" t="s">
        <v>665</v>
      </c>
      <c r="D97" s="6">
        <v>1200</v>
      </c>
      <c r="E97" s="242"/>
    </row>
    <row r="98" spans="1:6">
      <c r="A98" s="71">
        <v>44239</v>
      </c>
      <c r="B98" t="s">
        <v>642</v>
      </c>
      <c r="D98" s="6">
        <v>1800</v>
      </c>
      <c r="E98" s="242"/>
    </row>
    <row r="99" spans="1:6">
      <c r="A99" s="71">
        <v>44243</v>
      </c>
      <c r="B99" t="s">
        <v>155</v>
      </c>
      <c r="E99" s="242">
        <v>663.93</v>
      </c>
      <c r="F99" s="781" t="s">
        <v>666</v>
      </c>
    </row>
    <row r="100" spans="1:6">
      <c r="A100" s="71">
        <v>44256</v>
      </c>
      <c r="B100" t="s">
        <v>667</v>
      </c>
      <c r="E100" s="242">
        <v>11528.71</v>
      </c>
    </row>
    <row r="101" spans="1:6">
      <c r="A101" s="71">
        <v>44264</v>
      </c>
      <c r="B101" t="s">
        <v>668</v>
      </c>
      <c r="C101" s="229" t="s">
        <v>55</v>
      </c>
      <c r="E101" s="242">
        <v>2761</v>
      </c>
    </row>
    <row r="102" spans="1:6">
      <c r="A102" s="71">
        <v>44265</v>
      </c>
      <c r="B102" t="s">
        <v>613</v>
      </c>
      <c r="C102" s="51" t="s">
        <v>669</v>
      </c>
      <c r="E102" s="242">
        <v>7000</v>
      </c>
    </row>
    <row r="103" spans="1:6">
      <c r="A103" s="71">
        <v>44265</v>
      </c>
      <c r="B103" t="s">
        <v>670</v>
      </c>
      <c r="C103" s="51"/>
      <c r="E103" s="242">
        <f>20000*2</f>
        <v>40000</v>
      </c>
    </row>
    <row r="104" spans="1:6">
      <c r="A104" s="71">
        <v>44291</v>
      </c>
      <c r="B104" t="s">
        <v>615</v>
      </c>
      <c r="C104" s="51"/>
      <c r="E104" s="242">
        <v>15000</v>
      </c>
    </row>
    <row r="105" spans="1:6">
      <c r="A105" s="71">
        <v>44291</v>
      </c>
      <c r="B105" t="s">
        <v>612</v>
      </c>
      <c r="C105" s="51"/>
      <c r="E105" s="242">
        <v>800.03</v>
      </c>
    </row>
    <row r="106" spans="1:6">
      <c r="A106" s="71">
        <v>44291</v>
      </c>
      <c r="B106" t="s">
        <v>153</v>
      </c>
      <c r="C106" s="51"/>
      <c r="E106" s="242">
        <v>461.4</v>
      </c>
    </row>
    <row r="107" spans="1:6">
      <c r="A107" s="71">
        <v>44296</v>
      </c>
      <c r="B107" t="s">
        <v>613</v>
      </c>
      <c r="C107" s="51" t="s">
        <v>671</v>
      </c>
      <c r="E107" s="82">
        <v>7000</v>
      </c>
    </row>
    <row r="108" spans="1:6">
      <c r="A108" s="71">
        <v>44303</v>
      </c>
      <c r="B108" t="s">
        <v>649</v>
      </c>
      <c r="C108" s="51"/>
      <c r="E108" s="389">
        <v>680.13</v>
      </c>
    </row>
    <row r="109" spans="1:6">
      <c r="A109" s="71">
        <v>44305</v>
      </c>
      <c r="B109" t="s">
        <v>672</v>
      </c>
      <c r="C109" s="224" t="s">
        <v>66</v>
      </c>
      <c r="E109" s="82">
        <v>1619.5</v>
      </c>
    </row>
    <row r="110" spans="1:6">
      <c r="A110" s="71">
        <v>44319</v>
      </c>
      <c r="B110" t="s">
        <v>48</v>
      </c>
      <c r="C110" s="51"/>
      <c r="E110" s="82">
        <v>100</v>
      </c>
    </row>
    <row r="111" spans="1:6">
      <c r="A111" s="71">
        <v>44319</v>
      </c>
      <c r="B111" t="s">
        <v>151</v>
      </c>
      <c r="C111" s="51"/>
      <c r="E111" s="82">
        <v>12000</v>
      </c>
    </row>
    <row r="112" spans="1:6">
      <c r="A112" s="71">
        <v>44319</v>
      </c>
      <c r="B112" t="s">
        <v>673</v>
      </c>
      <c r="C112" s="51"/>
      <c r="D112" s="6">
        <v>500</v>
      </c>
      <c r="E112" s="82"/>
    </row>
    <row r="113" spans="1:6">
      <c r="A113" s="71">
        <v>44319</v>
      </c>
      <c r="B113" t="s">
        <v>672</v>
      </c>
      <c r="C113" s="224" t="s">
        <v>44</v>
      </c>
      <c r="E113" s="82">
        <v>1619.5</v>
      </c>
    </row>
    <row r="114" spans="1:6">
      <c r="A114" s="71">
        <v>44322</v>
      </c>
      <c r="B114" t="s">
        <v>674</v>
      </c>
      <c r="C114" s="51"/>
      <c r="E114" s="82">
        <v>5000</v>
      </c>
      <c r="F114" s="6">
        <v>4500000</v>
      </c>
    </row>
    <row r="115" spans="1:6">
      <c r="A115" s="71">
        <v>44323</v>
      </c>
      <c r="B115" t="s">
        <v>675</v>
      </c>
      <c r="C115" s="224" t="s">
        <v>62</v>
      </c>
      <c r="D115" s="6">
        <v>4800</v>
      </c>
      <c r="E115" s="82"/>
    </row>
    <row r="116" spans="1:6">
      <c r="A116" s="71">
        <v>44323</v>
      </c>
      <c r="B116" t="s">
        <v>676</v>
      </c>
      <c r="C116" s="224" t="s">
        <v>36</v>
      </c>
      <c r="E116" s="82">
        <v>5000</v>
      </c>
    </row>
    <row r="117" spans="1:6">
      <c r="A117" s="71">
        <v>44323</v>
      </c>
      <c r="B117" t="s">
        <v>676</v>
      </c>
      <c r="C117" s="51"/>
      <c r="E117" s="82">
        <v>500</v>
      </c>
    </row>
    <row r="118" spans="1:6">
      <c r="A118" s="71">
        <v>44323</v>
      </c>
      <c r="B118" t="s">
        <v>677</v>
      </c>
      <c r="C118" s="51"/>
      <c r="E118" s="82">
        <v>3244.1</v>
      </c>
    </row>
    <row r="119" spans="1:6">
      <c r="A119" s="71">
        <v>44326</v>
      </c>
      <c r="B119" t="s">
        <v>678</v>
      </c>
      <c r="C119" s="51"/>
      <c r="E119" s="208">
        <f>40000*2</f>
        <v>80000</v>
      </c>
    </row>
    <row r="120" spans="1:6">
      <c r="A120" s="71">
        <v>44334</v>
      </c>
      <c r="B120" t="s">
        <v>644</v>
      </c>
      <c r="C120" s="51"/>
      <c r="E120" s="242">
        <v>497.56</v>
      </c>
    </row>
    <row r="121" spans="1:6">
      <c r="A121" s="71">
        <v>44351</v>
      </c>
      <c r="B121" t="s">
        <v>672</v>
      </c>
      <c r="C121" s="229" t="s">
        <v>36</v>
      </c>
      <c r="E121" s="242">
        <v>1619.5</v>
      </c>
    </row>
    <row r="122" spans="1:6">
      <c r="A122" s="71">
        <v>44354</v>
      </c>
      <c r="B122" t="s">
        <v>612</v>
      </c>
      <c r="E122" s="242">
        <v>999</v>
      </c>
    </row>
    <row r="123" spans="1:6">
      <c r="A123" s="71">
        <v>44354</v>
      </c>
      <c r="B123" t="s">
        <v>153</v>
      </c>
      <c r="E123" s="242">
        <v>461.4</v>
      </c>
    </row>
    <row r="124" spans="1:6">
      <c r="A124" s="71">
        <v>44354</v>
      </c>
      <c r="B124" t="s">
        <v>679</v>
      </c>
      <c r="E124" s="242">
        <v>1545.13</v>
      </c>
    </row>
    <row r="125" spans="1:6">
      <c r="A125" s="71">
        <v>44354</v>
      </c>
      <c r="B125" t="s">
        <v>680</v>
      </c>
      <c r="E125" s="242">
        <v>11000</v>
      </c>
    </row>
    <row r="126" spans="1:6">
      <c r="A126" s="71">
        <v>44354</v>
      </c>
      <c r="B126" t="s">
        <v>150</v>
      </c>
      <c r="E126" s="242">
        <v>1000</v>
      </c>
    </row>
    <row r="127" spans="1:6">
      <c r="A127" s="71">
        <v>44355</v>
      </c>
      <c r="B127" t="s">
        <v>584</v>
      </c>
      <c r="E127" s="208">
        <v>2400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15"/>
  <sheetViews>
    <sheetView workbookViewId="0">
      <pane ySplit="1" topLeftCell="A140" activePane="bottomLeft" state="frozen"/>
      <selection pane="bottomLeft" activeCell="T104" sqref="T104"/>
      <selection activeCell="B1" sqref="B1"/>
    </sheetView>
  </sheetViews>
  <sheetFormatPr defaultColWidth="17.28515625" defaultRowHeight="15" customHeight="1"/>
  <cols>
    <col min="1" max="1" width="9.140625" bestFit="1" customWidth="1"/>
    <col min="2" max="2" width="33.42578125" bestFit="1" customWidth="1"/>
    <col min="3" max="3" width="10.28515625" customWidth="1"/>
    <col min="4" max="4" width="4.5703125" customWidth="1"/>
    <col min="5" max="5" width="4.5703125" bestFit="1" customWidth="1"/>
    <col min="6" max="6" width="24.5703125" bestFit="1" customWidth="1"/>
    <col min="7" max="7" width="10.140625" customWidth="1"/>
    <col min="8" max="8" width="18.5703125" customWidth="1"/>
    <col min="9" max="9" width="14.7109375" customWidth="1"/>
    <col min="10" max="10" width="10" customWidth="1"/>
    <col min="11" max="11" width="11" customWidth="1"/>
    <col min="12" max="12" width="27.140625" bestFit="1" customWidth="1"/>
    <col min="13" max="13" width="20.5703125" bestFit="1" customWidth="1"/>
    <col min="14" max="14" width="11.28515625" customWidth="1"/>
    <col min="15" max="15" width="40.7109375" customWidth="1"/>
    <col min="16" max="16" width="10.28515625" bestFit="1" customWidth="1"/>
    <col min="17" max="17" width="27" customWidth="1"/>
    <col min="18" max="18" width="14.85546875" customWidth="1"/>
    <col min="19" max="19" width="9" customWidth="1"/>
    <col min="20" max="20" width="23.5703125" customWidth="1"/>
    <col min="21" max="21" width="19.140625" style="51" bestFit="1" customWidth="1"/>
    <col min="22" max="22" width="15.5703125" customWidth="1"/>
    <col min="23" max="23" width="22.28515625" bestFit="1" customWidth="1"/>
    <col min="26" max="26" width="9.140625" bestFit="1" customWidth="1"/>
  </cols>
  <sheetData>
    <row r="1" spans="1:26" ht="12.75" customHeight="1">
      <c r="A1" s="31" t="s">
        <v>681</v>
      </c>
      <c r="B1" s="240" t="s">
        <v>682</v>
      </c>
      <c r="C1" s="240" t="s">
        <v>683</v>
      </c>
      <c r="D1" s="240" t="s">
        <v>684</v>
      </c>
      <c r="E1" s="240" t="s">
        <v>685</v>
      </c>
      <c r="F1" s="240" t="s">
        <v>686</v>
      </c>
      <c r="G1" s="240" t="s">
        <v>687</v>
      </c>
      <c r="H1" s="240" t="s">
        <v>688</v>
      </c>
      <c r="I1" s="240" t="s">
        <v>689</v>
      </c>
      <c r="J1" s="240" t="s">
        <v>690</v>
      </c>
      <c r="K1" s="240" t="s">
        <v>691</v>
      </c>
      <c r="L1" s="240" t="s">
        <v>692</v>
      </c>
      <c r="M1" s="240" t="s">
        <v>693</v>
      </c>
      <c r="N1" s="240" t="s">
        <v>694</v>
      </c>
      <c r="O1" s="240" t="s">
        <v>695</v>
      </c>
      <c r="P1" s="240" t="s">
        <v>696</v>
      </c>
      <c r="Q1" s="240" t="s">
        <v>697</v>
      </c>
      <c r="R1" s="240" t="s">
        <v>698</v>
      </c>
      <c r="S1" s="240" t="s">
        <v>699</v>
      </c>
      <c r="T1" s="240" t="s">
        <v>700</v>
      </c>
      <c r="U1" s="819" t="s">
        <v>701</v>
      </c>
      <c r="V1" s="240" t="s">
        <v>702</v>
      </c>
      <c r="W1" s="51" t="s">
        <v>703</v>
      </c>
      <c r="X1" t="s">
        <v>704</v>
      </c>
      <c r="Y1" t="s">
        <v>705</v>
      </c>
      <c r="Z1" t="s">
        <v>706</v>
      </c>
    </row>
    <row r="2" spans="1:26" ht="12.75" customHeight="1">
      <c r="A2" s="31">
        <v>4094846</v>
      </c>
      <c r="B2" s="12" t="s">
        <v>31</v>
      </c>
      <c r="C2" s="87"/>
      <c r="D2" s="12"/>
      <c r="E2" s="240">
        <v>270</v>
      </c>
      <c r="F2" s="12"/>
      <c r="G2" s="87"/>
      <c r="H2" s="12"/>
      <c r="I2" s="12"/>
      <c r="K2" s="12"/>
      <c r="L2" s="12"/>
      <c r="M2" s="12"/>
      <c r="N2" s="240"/>
      <c r="O2" s="12"/>
      <c r="P2" s="12"/>
      <c r="Q2" s="12"/>
      <c r="R2" s="12"/>
      <c r="S2" s="12"/>
      <c r="T2" s="12"/>
      <c r="U2" s="819"/>
    </row>
    <row r="3" spans="1:26" ht="12.75" customHeight="1">
      <c r="A3" s="31">
        <v>4522901</v>
      </c>
      <c r="B3" s="12" t="s">
        <v>707</v>
      </c>
      <c r="C3" s="87"/>
      <c r="D3" s="12"/>
      <c r="E3" s="240"/>
      <c r="F3" s="12" t="s">
        <v>708</v>
      </c>
      <c r="G3" s="87">
        <v>16550</v>
      </c>
      <c r="H3" s="12"/>
      <c r="I3" s="12"/>
      <c r="J3" t="s">
        <v>709</v>
      </c>
      <c r="K3" s="12"/>
      <c r="L3" s="12"/>
      <c r="M3" s="12"/>
      <c r="N3" s="240"/>
      <c r="O3" s="12"/>
      <c r="P3" s="12"/>
      <c r="Q3" s="12"/>
      <c r="R3" s="12"/>
      <c r="S3" s="12"/>
      <c r="T3" s="12"/>
      <c r="U3" s="819"/>
    </row>
    <row r="4" spans="1:26" ht="12.75" customHeight="1">
      <c r="A4" s="27">
        <v>6206734</v>
      </c>
      <c r="B4" s="12" t="s">
        <v>710</v>
      </c>
      <c r="C4" s="87"/>
      <c r="D4" s="12"/>
      <c r="E4" s="240"/>
      <c r="F4" s="12"/>
      <c r="G4" s="87"/>
      <c r="H4" s="12"/>
      <c r="I4" s="12"/>
      <c r="K4" s="12"/>
      <c r="L4" s="12"/>
      <c r="M4" s="12"/>
      <c r="N4" s="240"/>
      <c r="O4" s="12"/>
      <c r="P4" s="12"/>
      <c r="Q4" s="12"/>
      <c r="R4" s="12"/>
      <c r="S4" s="12"/>
      <c r="T4" s="12"/>
      <c r="U4" s="819"/>
    </row>
    <row r="5" spans="1:26" ht="12.75" customHeight="1">
      <c r="A5" s="31">
        <v>6291689</v>
      </c>
      <c r="B5" s="12" t="s">
        <v>169</v>
      </c>
      <c r="C5" s="87"/>
      <c r="D5" s="12"/>
      <c r="E5" s="240">
        <v>279</v>
      </c>
      <c r="F5" s="12"/>
      <c r="G5" s="87"/>
      <c r="H5" s="12" t="s">
        <v>711</v>
      </c>
      <c r="I5" s="12"/>
      <c r="K5" s="12"/>
      <c r="L5" s="12"/>
      <c r="M5" s="12"/>
      <c r="N5" s="240"/>
      <c r="O5" s="25" t="s">
        <v>712</v>
      </c>
      <c r="P5" s="12"/>
      <c r="Q5" s="12"/>
      <c r="R5" s="12"/>
      <c r="S5" s="12"/>
      <c r="T5" s="12"/>
      <c r="U5" s="819"/>
    </row>
    <row r="6" spans="1:26" ht="12.75">
      <c r="A6" s="215">
        <v>7882740</v>
      </c>
      <c r="B6" t="s">
        <v>143</v>
      </c>
      <c r="C6" s="71"/>
      <c r="G6" s="71">
        <v>41730</v>
      </c>
      <c r="S6" t="s">
        <v>713</v>
      </c>
    </row>
    <row r="7" spans="1:26" ht="12.75" customHeight="1">
      <c r="A7" s="27">
        <v>10518477</v>
      </c>
      <c r="B7" s="12" t="s">
        <v>714</v>
      </c>
      <c r="C7" s="87">
        <v>42781</v>
      </c>
      <c r="D7" s="12"/>
      <c r="E7" s="240"/>
      <c r="F7" s="12" t="s">
        <v>715</v>
      </c>
      <c r="G7" s="87"/>
      <c r="H7" s="12" t="s">
        <v>716</v>
      </c>
      <c r="I7" s="12"/>
      <c r="K7" s="12"/>
      <c r="L7" s="12"/>
      <c r="M7" s="12"/>
      <c r="N7" s="240">
        <v>1657</v>
      </c>
      <c r="O7" s="12"/>
      <c r="P7" s="12"/>
      <c r="Q7" s="12"/>
      <c r="R7" s="12"/>
      <c r="S7" s="12"/>
      <c r="T7" s="12"/>
      <c r="U7" s="819"/>
      <c r="V7" t="s">
        <v>717</v>
      </c>
    </row>
    <row r="8" spans="1:26" ht="12.75" customHeight="1">
      <c r="A8" s="31">
        <v>12759660</v>
      </c>
      <c r="B8" s="12" t="s">
        <v>718</v>
      </c>
      <c r="C8" s="87"/>
      <c r="D8" s="12"/>
      <c r="E8" s="240"/>
      <c r="F8" s="12" t="s">
        <v>719</v>
      </c>
      <c r="G8" s="87">
        <v>20723</v>
      </c>
      <c r="H8" s="12" t="s">
        <v>720</v>
      </c>
      <c r="I8" s="12"/>
      <c r="J8" s="12" t="s">
        <v>721</v>
      </c>
      <c r="K8" s="12"/>
      <c r="L8" s="12"/>
      <c r="M8" s="12"/>
      <c r="N8" s="240" t="s">
        <v>722</v>
      </c>
      <c r="O8" s="46" t="str">
        <f>HYPERLINK("mailto:mencia@yahoo.com.ar","mencia@yahoo.com.ar")</f>
        <v>mencia@yahoo.com.ar</v>
      </c>
      <c r="P8" s="12"/>
      <c r="Q8" s="12"/>
      <c r="R8" s="12"/>
      <c r="S8" s="12"/>
      <c r="T8" s="12"/>
      <c r="U8" s="819"/>
    </row>
    <row r="9" spans="1:26" ht="12.75" customHeight="1">
      <c r="A9" s="31">
        <v>13106508</v>
      </c>
      <c r="B9" s="12" t="s">
        <v>723</v>
      </c>
      <c r="C9" s="87"/>
      <c r="D9" s="12"/>
      <c r="E9" s="240">
        <v>271</v>
      </c>
      <c r="F9" s="12"/>
      <c r="G9" s="87"/>
      <c r="H9" s="12"/>
      <c r="I9" s="12"/>
      <c r="K9" s="12"/>
      <c r="L9" s="12"/>
      <c r="M9" s="12"/>
      <c r="N9" s="240"/>
      <c r="O9" s="34" t="s">
        <v>724</v>
      </c>
      <c r="P9" s="12"/>
      <c r="Q9" s="12"/>
      <c r="R9" s="12"/>
      <c r="S9" s="12"/>
      <c r="T9" s="12"/>
      <c r="U9" s="819"/>
    </row>
    <row r="10" spans="1:26" ht="12.75" customHeight="1">
      <c r="A10" s="216">
        <v>13106519</v>
      </c>
      <c r="B10" s="37" t="s">
        <v>725</v>
      </c>
      <c r="C10" s="87"/>
      <c r="D10" s="12"/>
      <c r="F10" s="29" t="s">
        <v>726</v>
      </c>
      <c r="G10" s="87"/>
      <c r="H10" s="12"/>
      <c r="I10" s="12"/>
      <c r="K10" s="12"/>
      <c r="L10" s="12"/>
      <c r="M10" s="12"/>
      <c r="N10" s="240" t="s">
        <v>727</v>
      </c>
      <c r="O10" s="12"/>
      <c r="P10" s="12"/>
      <c r="Q10" s="12"/>
      <c r="R10" s="12"/>
      <c r="S10" s="12"/>
      <c r="T10" s="12"/>
      <c r="U10" s="819"/>
    </row>
    <row r="11" spans="1:26" ht="12.75" customHeight="1">
      <c r="A11" s="28">
        <v>14379921</v>
      </c>
      <c r="B11" s="12" t="s">
        <v>728</v>
      </c>
      <c r="C11" s="87">
        <v>43748</v>
      </c>
      <c r="D11" s="12"/>
      <c r="E11" s="240">
        <v>203</v>
      </c>
      <c r="F11" s="12"/>
      <c r="G11" s="87"/>
      <c r="H11" s="12" t="s">
        <v>729</v>
      </c>
      <c r="I11" s="12"/>
      <c r="J11" s="12"/>
      <c r="K11" s="12"/>
      <c r="L11" s="178" t="s">
        <v>730</v>
      </c>
      <c r="M11" s="178" t="s">
        <v>731</v>
      </c>
      <c r="N11" s="240"/>
      <c r="O11" s="12"/>
      <c r="P11" s="12"/>
      <c r="Q11" s="12"/>
      <c r="R11" s="12"/>
      <c r="S11" s="12"/>
      <c r="T11" s="12"/>
      <c r="U11" s="819"/>
    </row>
    <row r="12" spans="1:26" ht="12.75" customHeight="1">
      <c r="A12" s="31">
        <v>16529140</v>
      </c>
      <c r="B12" s="12" t="s">
        <v>732</v>
      </c>
      <c r="C12" s="87"/>
      <c r="D12" s="12"/>
      <c r="E12" s="240"/>
      <c r="F12" s="12"/>
      <c r="G12" s="87">
        <v>23122</v>
      </c>
      <c r="H12" s="12" t="s">
        <v>733</v>
      </c>
      <c r="I12" s="12"/>
      <c r="K12" s="12"/>
      <c r="L12" s="12"/>
      <c r="M12" s="12"/>
      <c r="N12" s="240"/>
      <c r="O12" s="12"/>
      <c r="P12" s="12"/>
      <c r="Q12" s="12"/>
      <c r="R12" s="12"/>
      <c r="S12" s="12"/>
      <c r="T12" s="12"/>
      <c r="U12" s="819"/>
    </row>
    <row r="13" spans="1:26" ht="12.75" customHeight="1">
      <c r="A13" s="31">
        <v>17602252</v>
      </c>
      <c r="B13" s="12" t="s">
        <v>734</v>
      </c>
      <c r="C13" s="87"/>
      <c r="D13" s="12"/>
      <c r="E13" s="240">
        <v>279</v>
      </c>
      <c r="F13" s="12" t="s">
        <v>735</v>
      </c>
      <c r="G13" s="87">
        <v>23920</v>
      </c>
      <c r="H13" s="12" t="s">
        <v>736</v>
      </c>
      <c r="I13" s="12"/>
      <c r="J13" s="12" t="s">
        <v>737</v>
      </c>
      <c r="K13" s="12" t="s">
        <v>738</v>
      </c>
      <c r="L13" s="12" t="s">
        <v>739</v>
      </c>
      <c r="M13" s="12"/>
      <c r="N13" s="240"/>
      <c r="O13" s="47" t="str">
        <f>HYPERLINK("mailto:marcelaBratina@outloot.com","marcelaBratina@outloot.com")</f>
        <v>marcelaBratina@outloot.com</v>
      </c>
      <c r="P13" s="12"/>
      <c r="Q13" s="12"/>
      <c r="R13" s="12"/>
      <c r="S13" s="12"/>
      <c r="T13" s="12"/>
      <c r="U13" s="819"/>
    </row>
    <row r="14" spans="1:26" ht="14.25">
      <c r="A14" s="31">
        <v>17624070</v>
      </c>
      <c r="B14" s="12" t="s">
        <v>740</v>
      </c>
      <c r="C14" s="87"/>
      <c r="D14" s="12"/>
      <c r="E14" s="240"/>
      <c r="F14" s="12" t="s">
        <v>741</v>
      </c>
      <c r="G14" s="87"/>
      <c r="H14" s="32"/>
      <c r="I14" s="12"/>
      <c r="J14" s="33"/>
      <c r="K14" s="12" t="s">
        <v>742</v>
      </c>
      <c r="L14" s="12"/>
      <c r="M14" s="12"/>
      <c r="N14" s="240"/>
      <c r="O14" s="12">
        <v>1684</v>
      </c>
      <c r="P14" s="12"/>
      <c r="Q14" s="12"/>
      <c r="R14" s="12"/>
      <c r="S14" s="12"/>
      <c r="T14" s="12"/>
      <c r="U14" s="819"/>
    </row>
    <row r="15" spans="1:26" ht="12.75" customHeight="1">
      <c r="A15" s="31">
        <v>17861425</v>
      </c>
      <c r="B15" s="12" t="s">
        <v>743</v>
      </c>
      <c r="C15" s="87"/>
      <c r="D15" s="12"/>
      <c r="E15" s="240">
        <v>209</v>
      </c>
      <c r="F15" s="12" t="s">
        <v>744</v>
      </c>
      <c r="G15" s="87">
        <v>24002</v>
      </c>
      <c r="H15" s="12"/>
      <c r="I15" s="12"/>
      <c r="J15" t="s">
        <v>745</v>
      </c>
      <c r="K15" s="12" t="s">
        <v>746</v>
      </c>
      <c r="L15" s="12" t="s">
        <v>747</v>
      </c>
      <c r="M15" s="12"/>
      <c r="N15" s="240">
        <v>1650</v>
      </c>
      <c r="O15" s="46" t="str">
        <f>HYPERLINK("mailto:carlosGaun@hotmail.com","carlosGaun@hotmail.com")</f>
        <v>carlosGaun@hotmail.com</v>
      </c>
      <c r="P15" s="12"/>
      <c r="Q15" s="12"/>
      <c r="R15" s="12"/>
      <c r="S15" s="12"/>
      <c r="T15" s="12"/>
      <c r="U15" s="819" t="s">
        <v>748</v>
      </c>
      <c r="W15" t="s">
        <v>749</v>
      </c>
    </row>
    <row r="16" spans="1:26" ht="12.75" customHeight="1">
      <c r="A16" s="31">
        <v>18605303</v>
      </c>
      <c r="B16" s="12" t="s">
        <v>750</v>
      </c>
      <c r="C16" s="87"/>
      <c r="D16" s="12"/>
      <c r="F16" s="12" t="s">
        <v>751</v>
      </c>
      <c r="G16" s="87"/>
      <c r="H16" s="12" t="s">
        <v>752</v>
      </c>
      <c r="I16" s="12"/>
      <c r="K16" s="12" t="s">
        <v>753</v>
      </c>
      <c r="L16" s="12"/>
      <c r="M16" s="12"/>
      <c r="N16" s="240"/>
      <c r="O16" s="12"/>
      <c r="P16" s="12"/>
      <c r="Q16" s="12"/>
      <c r="R16" s="12"/>
      <c r="S16" s="12"/>
      <c r="T16" s="12"/>
      <c r="U16" s="819"/>
    </row>
    <row r="17" spans="1:22" ht="12.75" customHeight="1">
      <c r="A17" s="31">
        <v>18759835</v>
      </c>
      <c r="B17" s="12" t="s">
        <v>754</v>
      </c>
      <c r="C17" s="87">
        <v>44208</v>
      </c>
      <c r="D17" s="12"/>
      <c r="E17">
        <v>234</v>
      </c>
      <c r="F17" s="12" t="s">
        <v>755</v>
      </c>
      <c r="G17" s="225">
        <v>18342</v>
      </c>
      <c r="H17" s="87" t="s">
        <v>756</v>
      </c>
      <c r="I17" s="12"/>
      <c r="K17" s="12"/>
      <c r="L17" s="12" t="s">
        <v>757</v>
      </c>
      <c r="M17" s="12" t="s">
        <v>758</v>
      </c>
      <c r="N17" s="240" t="s">
        <v>759</v>
      </c>
      <c r="O17" s="12"/>
      <c r="P17" s="12"/>
      <c r="Q17" s="12"/>
      <c r="R17" s="12"/>
      <c r="S17" s="12"/>
      <c r="T17" s="12"/>
      <c r="U17" s="819"/>
    </row>
    <row r="18" spans="1:22" ht="12.75" customHeight="1">
      <c r="A18" s="28">
        <v>20051484</v>
      </c>
      <c r="B18" s="12" t="s">
        <v>760</v>
      </c>
      <c r="C18" s="87"/>
      <c r="D18" s="12"/>
      <c r="E18" s="240"/>
      <c r="F18" s="12"/>
      <c r="G18" s="87"/>
      <c r="H18" s="12" t="s">
        <v>761</v>
      </c>
      <c r="I18" s="12"/>
      <c r="K18" s="12"/>
      <c r="L18" s="12"/>
      <c r="M18" s="12"/>
      <c r="N18" s="240"/>
      <c r="O18" s="12"/>
      <c r="P18" s="12"/>
      <c r="Q18" s="12"/>
      <c r="R18" s="12"/>
      <c r="S18" s="12">
        <v>20051484</v>
      </c>
      <c r="T18" s="12"/>
      <c r="U18" s="819"/>
    </row>
    <row r="19" spans="1:22" ht="12.75" customHeight="1">
      <c r="A19" s="31">
        <v>21002982</v>
      </c>
      <c r="B19" s="12" t="s">
        <v>762</v>
      </c>
      <c r="C19" s="87"/>
      <c r="D19" s="12"/>
      <c r="E19" s="240">
        <v>207</v>
      </c>
      <c r="F19" s="12"/>
      <c r="G19" s="87"/>
      <c r="H19" s="12"/>
      <c r="I19" s="12"/>
      <c r="J19" s="12" t="s">
        <v>763</v>
      </c>
      <c r="K19" s="12" t="s">
        <v>764</v>
      </c>
      <c r="L19" s="12"/>
      <c r="M19" s="12"/>
      <c r="N19" s="240">
        <v>1650</v>
      </c>
      <c r="O19" s="46" t="str">
        <f>HYPERLINK("mailto:info@graficaArrayanes.com.ar","info@graficaArrayanes.com.ar")</f>
        <v>info@graficaArrayanes.com.ar</v>
      </c>
      <c r="P19" s="12"/>
      <c r="Q19" s="12"/>
      <c r="R19" s="12"/>
      <c r="S19" s="12"/>
      <c r="T19" s="12"/>
      <c r="U19" s="819"/>
    </row>
    <row r="20" spans="1:22" ht="12.75" customHeight="1">
      <c r="A20" s="31">
        <v>22885980</v>
      </c>
      <c r="B20" s="12" t="s">
        <v>765</v>
      </c>
      <c r="C20" s="87"/>
      <c r="D20" s="12"/>
      <c r="E20" s="240">
        <v>209</v>
      </c>
      <c r="F20" s="12" t="s">
        <v>766</v>
      </c>
      <c r="G20" s="87"/>
      <c r="H20" s="12" t="s">
        <v>767</v>
      </c>
      <c r="I20" s="12"/>
      <c r="K20" s="12"/>
      <c r="L20" s="12"/>
      <c r="M20" s="12"/>
      <c r="N20" s="240"/>
      <c r="O20" s="46" t="str">
        <f>HYPERLINK("mailto:christianCifa72@gmail.com","christianCifa72@gmail.com")</f>
        <v>christianCifa72@gmail.com</v>
      </c>
      <c r="P20" s="12"/>
      <c r="Q20" s="12"/>
      <c r="R20" s="12"/>
      <c r="S20" s="12"/>
      <c r="T20" s="12"/>
      <c r="U20" s="819"/>
    </row>
    <row r="21" spans="1:22" ht="12.75" customHeight="1">
      <c r="A21" s="28">
        <v>23023754</v>
      </c>
      <c r="B21" s="12" t="s">
        <v>768</v>
      </c>
      <c r="C21" s="87"/>
      <c r="D21" s="12"/>
      <c r="E21" s="240">
        <v>274</v>
      </c>
      <c r="F21" s="12" t="s">
        <v>769</v>
      </c>
      <c r="G21" s="87">
        <v>26745</v>
      </c>
      <c r="H21" s="12"/>
      <c r="I21" s="12"/>
      <c r="J21" s="12" t="s">
        <v>770</v>
      </c>
      <c r="K21" s="12"/>
      <c r="L21" s="25" t="s">
        <v>771</v>
      </c>
      <c r="M21" s="25"/>
      <c r="N21" s="240"/>
      <c r="O21" s="12"/>
      <c r="P21" s="12"/>
      <c r="Q21" s="12"/>
      <c r="R21" s="12"/>
      <c r="S21" s="12"/>
      <c r="T21" s="12"/>
      <c r="U21" s="819"/>
    </row>
    <row r="22" spans="1:22" ht="12.75" customHeight="1">
      <c r="A22" s="28">
        <v>23414933</v>
      </c>
      <c r="B22" s="12" t="s">
        <v>772</v>
      </c>
      <c r="C22" s="87"/>
      <c r="D22" s="12"/>
      <c r="E22" s="240"/>
      <c r="F22" s="12"/>
      <c r="G22" s="87">
        <v>26934</v>
      </c>
      <c r="H22" s="12" t="s">
        <v>773</v>
      </c>
      <c r="I22" s="12"/>
      <c r="J22" s="12"/>
      <c r="K22" s="12"/>
      <c r="L22" s="12"/>
      <c r="M22" s="12"/>
      <c r="N22" s="240"/>
      <c r="O22" s="12"/>
      <c r="P22" s="12"/>
      <c r="Q22" s="12"/>
      <c r="R22" s="12"/>
      <c r="S22" s="12"/>
      <c r="T22" s="12"/>
      <c r="U22" s="819"/>
    </row>
    <row r="23" spans="1:22" ht="12.75" customHeight="1">
      <c r="A23" s="28">
        <v>23802967</v>
      </c>
      <c r="B23" s="12" t="s">
        <v>171</v>
      </c>
      <c r="C23" s="87">
        <v>43532</v>
      </c>
      <c r="D23" s="12"/>
      <c r="E23" s="240">
        <v>237</v>
      </c>
      <c r="F23" s="12" t="s">
        <v>774</v>
      </c>
      <c r="G23" s="87">
        <v>27050</v>
      </c>
      <c r="H23" s="12" t="s">
        <v>775</v>
      </c>
      <c r="I23" s="12"/>
      <c r="J23" s="12"/>
      <c r="K23" s="12"/>
      <c r="L23" s="12"/>
      <c r="M23" s="12"/>
      <c r="N23" s="240">
        <v>1653</v>
      </c>
      <c r="O23" s="70" t="s">
        <v>776</v>
      </c>
      <c r="P23" s="12"/>
      <c r="Q23" s="12"/>
      <c r="R23" s="12" t="s">
        <v>572</v>
      </c>
      <c r="S23" s="12"/>
      <c r="T23" s="12"/>
      <c r="U23" s="819"/>
    </row>
    <row r="24" spans="1:22" ht="12.75">
      <c r="A24" s="215">
        <v>24801216</v>
      </c>
      <c r="B24" t="s">
        <v>227</v>
      </c>
      <c r="C24" s="71"/>
      <c r="E24" s="835">
        <v>277</v>
      </c>
      <c r="F24" t="s">
        <v>777</v>
      </c>
      <c r="G24" s="71"/>
      <c r="H24" t="s">
        <v>778</v>
      </c>
      <c r="K24" t="s">
        <v>779</v>
      </c>
      <c r="L24" s="49" t="s">
        <v>780</v>
      </c>
      <c r="M24" s="49"/>
    </row>
    <row r="25" spans="1:22" ht="12.75" customHeight="1">
      <c r="A25" s="31">
        <v>25997607</v>
      </c>
      <c r="B25" s="12" t="s">
        <v>43</v>
      </c>
      <c r="C25" s="87"/>
      <c r="D25" s="12"/>
      <c r="E25" s="240">
        <v>204</v>
      </c>
      <c r="F25" s="12" t="s">
        <v>766</v>
      </c>
      <c r="G25" s="87"/>
      <c r="H25" s="12" t="s">
        <v>781</v>
      </c>
      <c r="I25" s="12"/>
      <c r="K25" s="12"/>
      <c r="L25" s="178" t="s">
        <v>782</v>
      </c>
      <c r="M25" s="178"/>
      <c r="N25" s="240">
        <v>1657</v>
      </c>
      <c r="O25" s="46" t="str">
        <f>HYPERLINK("mailto:titnogato1@hotmail.com","titnogato1@hotmail.com")</f>
        <v>titnogato1@hotmail.com</v>
      </c>
      <c r="P25" s="12"/>
      <c r="Q25" s="12"/>
      <c r="R25" s="12"/>
      <c r="S25" s="12"/>
      <c r="T25" s="12"/>
      <c r="U25" s="819"/>
    </row>
    <row r="26" spans="1:22" ht="12.75" customHeight="1">
      <c r="A26" s="31">
        <v>28438858</v>
      </c>
      <c r="B26" s="12" t="s">
        <v>166</v>
      </c>
      <c r="C26" s="87">
        <v>43896</v>
      </c>
      <c r="D26" s="12"/>
      <c r="E26" s="240">
        <v>270</v>
      </c>
      <c r="F26" s="12" t="s">
        <v>774</v>
      </c>
      <c r="G26" s="87">
        <v>29258</v>
      </c>
      <c r="H26" s="12" t="s">
        <v>783</v>
      </c>
      <c r="I26" s="12"/>
      <c r="K26" s="12"/>
      <c r="L26" s="178" t="s">
        <v>784</v>
      </c>
      <c r="M26" s="178"/>
      <c r="N26" s="240"/>
      <c r="O26" s="46"/>
      <c r="P26" s="12"/>
      <c r="Q26" s="12"/>
      <c r="R26" s="12"/>
      <c r="S26" s="12"/>
      <c r="T26" s="12"/>
      <c r="U26" s="819"/>
      <c r="V26" s="28">
        <v>23802967</v>
      </c>
    </row>
    <row r="27" spans="1:22" ht="12.75" customHeight="1">
      <c r="A27" s="28">
        <v>29078734</v>
      </c>
      <c r="B27" s="12" t="s">
        <v>785</v>
      </c>
      <c r="C27" s="87"/>
      <c r="D27" s="12"/>
      <c r="E27" s="240">
        <v>279</v>
      </c>
      <c r="F27" s="12"/>
      <c r="G27" s="87"/>
      <c r="H27" s="12"/>
      <c r="I27" s="12"/>
      <c r="K27" s="12"/>
      <c r="L27" s="178" t="s">
        <v>786</v>
      </c>
      <c r="M27" s="178"/>
      <c r="N27" s="240">
        <v>1653</v>
      </c>
      <c r="O27" s="12"/>
      <c r="P27" s="12"/>
      <c r="Q27" s="12"/>
      <c r="R27" s="12" t="s">
        <v>787</v>
      </c>
      <c r="S27" s="12"/>
      <c r="T27" s="12"/>
      <c r="U27" s="819"/>
    </row>
    <row r="28" spans="1:22" ht="12.75" customHeight="1">
      <c r="A28" s="31">
        <v>30525854</v>
      </c>
      <c r="B28" s="12" t="s">
        <v>788</v>
      </c>
      <c r="C28" s="87"/>
      <c r="D28" s="12"/>
      <c r="E28" s="240"/>
      <c r="F28" s="12"/>
      <c r="G28" s="87"/>
      <c r="H28" s="12"/>
      <c r="I28" s="12"/>
      <c r="K28" s="12"/>
      <c r="L28" s="12"/>
      <c r="M28" s="12"/>
      <c r="N28" s="240"/>
      <c r="O28" s="12"/>
      <c r="P28" s="12"/>
      <c r="Q28" s="12"/>
      <c r="R28" s="12"/>
      <c r="S28" s="12"/>
      <c r="T28" s="12"/>
      <c r="U28" s="819"/>
    </row>
    <row r="29" spans="1:22" ht="14.25" customHeight="1">
      <c r="A29" s="28">
        <v>34341558</v>
      </c>
      <c r="B29" s="12" t="s">
        <v>789</v>
      </c>
      <c r="C29" s="87">
        <v>42732</v>
      </c>
      <c r="D29" s="12"/>
      <c r="E29" s="240"/>
      <c r="F29" s="12"/>
      <c r="G29" s="87">
        <v>32508</v>
      </c>
      <c r="H29" s="35"/>
      <c r="I29" s="12"/>
      <c r="K29" s="12"/>
      <c r="L29" s="12"/>
      <c r="M29" s="12"/>
      <c r="N29" s="240"/>
      <c r="O29" s="12"/>
      <c r="P29" s="12"/>
      <c r="Q29" s="12"/>
      <c r="R29" s="12"/>
      <c r="S29" s="12">
        <v>34341558</v>
      </c>
      <c r="T29" s="12"/>
      <c r="U29" s="819"/>
    </row>
    <row r="30" spans="1:22" ht="12.75" customHeight="1">
      <c r="A30" s="31">
        <v>34782332</v>
      </c>
      <c r="B30" s="12" t="s">
        <v>790</v>
      </c>
      <c r="C30" s="87">
        <v>42109</v>
      </c>
      <c r="D30" s="12"/>
      <c r="E30" s="240"/>
      <c r="F30" s="12" t="s">
        <v>791</v>
      </c>
      <c r="G30" s="87"/>
      <c r="H30" s="12"/>
      <c r="I30" s="12"/>
      <c r="K30" s="12"/>
      <c r="L30" s="12"/>
      <c r="M30" s="12"/>
      <c r="N30" s="240"/>
      <c r="O30" s="12"/>
      <c r="P30" s="12"/>
      <c r="Q30" s="12"/>
      <c r="R30" s="12"/>
      <c r="S30" s="12"/>
      <c r="T30" s="12"/>
      <c r="U30" s="819"/>
    </row>
    <row r="31" spans="1:22" ht="12.75" customHeight="1">
      <c r="A31" s="31">
        <v>39831048</v>
      </c>
      <c r="B31" s="12" t="s">
        <v>792</v>
      </c>
      <c r="C31" s="87"/>
      <c r="D31" s="12"/>
      <c r="E31" s="240"/>
      <c r="F31" s="12"/>
      <c r="G31" s="87">
        <v>35366</v>
      </c>
      <c r="H31" s="12"/>
      <c r="I31" s="12"/>
      <c r="K31" s="12"/>
      <c r="L31" s="12"/>
      <c r="M31" s="12"/>
      <c r="N31" s="240"/>
      <c r="O31" s="12"/>
      <c r="P31" s="12"/>
      <c r="Q31" s="12"/>
      <c r="R31" s="12"/>
      <c r="S31" s="12"/>
      <c r="T31" s="12"/>
      <c r="U31" s="819"/>
    </row>
    <row r="32" spans="1:22" ht="12.75" customHeight="1">
      <c r="A32" s="31">
        <v>44889875</v>
      </c>
      <c r="B32" s="12" t="s">
        <v>38</v>
      </c>
      <c r="C32" s="87"/>
      <c r="D32" s="12"/>
      <c r="E32" s="240"/>
      <c r="F32" s="12"/>
      <c r="G32" s="87">
        <v>37750</v>
      </c>
      <c r="H32" s="12"/>
      <c r="I32" s="12"/>
      <c r="K32" s="12"/>
      <c r="L32" s="12"/>
      <c r="M32" s="12"/>
      <c r="N32" s="240"/>
      <c r="O32" s="12"/>
      <c r="P32" s="12"/>
      <c r="Q32" s="12"/>
      <c r="R32" s="12"/>
      <c r="S32" s="12"/>
      <c r="T32" s="12"/>
      <c r="U32" s="819"/>
    </row>
    <row r="33" spans="1:26" ht="12.75">
      <c r="A33" s="215">
        <v>50042039</v>
      </c>
      <c r="B33" t="s">
        <v>793</v>
      </c>
      <c r="C33" s="71"/>
      <c r="G33" s="71"/>
    </row>
    <row r="34" spans="1:26" ht="12.75" customHeight="1">
      <c r="A34" s="31">
        <v>53790345</v>
      </c>
      <c r="B34" s="12" t="s">
        <v>794</v>
      </c>
      <c r="C34" s="87"/>
      <c r="D34" s="12"/>
      <c r="E34" s="240">
        <v>303</v>
      </c>
      <c r="F34" s="12"/>
      <c r="G34" s="87"/>
      <c r="H34" s="12"/>
      <c r="I34" s="12"/>
      <c r="K34" s="12"/>
      <c r="L34" s="12"/>
      <c r="M34" s="12"/>
      <c r="N34" s="240"/>
      <c r="O34" s="12" t="s">
        <v>795</v>
      </c>
      <c r="P34" s="12"/>
      <c r="Q34" s="12"/>
      <c r="R34" s="12"/>
      <c r="S34" s="12"/>
      <c r="T34" s="12"/>
      <c r="U34" s="819"/>
    </row>
    <row r="35" spans="1:26" ht="12.75">
      <c r="A35" s="215">
        <v>57670263</v>
      </c>
      <c r="B35" t="s">
        <v>796</v>
      </c>
      <c r="C35" s="71"/>
      <c r="E35" s="835">
        <v>209</v>
      </c>
      <c r="G35" s="71">
        <v>43637</v>
      </c>
      <c r="N35">
        <v>1650</v>
      </c>
    </row>
    <row r="36" spans="1:26" ht="12.75" customHeight="1">
      <c r="A36" s="31">
        <v>57720719</v>
      </c>
      <c r="B36" s="12" t="s">
        <v>797</v>
      </c>
      <c r="C36" s="87"/>
      <c r="D36" s="12"/>
      <c r="E36" s="240">
        <v>300</v>
      </c>
      <c r="F36" s="12" t="s">
        <v>798</v>
      </c>
      <c r="G36" s="87"/>
      <c r="H36" s="12"/>
      <c r="I36" s="12"/>
      <c r="J36" s="12" t="s">
        <v>799</v>
      </c>
      <c r="K36" s="12" t="s">
        <v>800</v>
      </c>
      <c r="L36" s="12"/>
      <c r="M36" s="12"/>
      <c r="N36" s="240">
        <v>1650</v>
      </c>
      <c r="O36" s="12"/>
      <c r="P36" s="12"/>
      <c r="Q36" s="12"/>
      <c r="R36" s="12"/>
      <c r="S36" s="12"/>
      <c r="T36" s="12"/>
      <c r="U36" s="819"/>
    </row>
    <row r="37" spans="1:26" ht="12.75">
      <c r="A37" s="215">
        <v>93299875</v>
      </c>
      <c r="B37" t="s">
        <v>801</v>
      </c>
      <c r="C37" s="71"/>
      <c r="G37" s="71">
        <v>14153</v>
      </c>
      <c r="H37" t="s">
        <v>802</v>
      </c>
      <c r="J37" t="s">
        <v>803</v>
      </c>
      <c r="L37" t="s">
        <v>804</v>
      </c>
      <c r="N37">
        <v>1657</v>
      </c>
      <c r="O37" s="70" t="s">
        <v>805</v>
      </c>
      <c r="Z37">
        <v>47690420</v>
      </c>
    </row>
    <row r="38" spans="1:26" ht="12.75">
      <c r="A38" s="215">
        <v>94934400</v>
      </c>
      <c r="B38" t="s">
        <v>806</v>
      </c>
      <c r="C38" s="71"/>
      <c r="E38">
        <v>278</v>
      </c>
      <c r="G38" s="71">
        <v>30840</v>
      </c>
      <c r="H38" t="s">
        <v>807</v>
      </c>
      <c r="L38" t="s">
        <v>808</v>
      </c>
      <c r="O38" s="70" t="s">
        <v>809</v>
      </c>
      <c r="U38" s="51" t="s">
        <v>810</v>
      </c>
    </row>
    <row r="39" spans="1:26" ht="12.75">
      <c r="A39" s="215"/>
    </row>
    <row r="40" spans="1:26" ht="12.75">
      <c r="A40" s="215"/>
      <c r="B40" t="s">
        <v>48</v>
      </c>
      <c r="X40" t="s">
        <v>811</v>
      </c>
      <c r="Y40" t="s">
        <v>812</v>
      </c>
    </row>
    <row r="41" spans="1:26" ht="12.75" customHeight="1">
      <c r="A41" s="28"/>
      <c r="B41" s="12" t="s">
        <v>813</v>
      </c>
      <c r="C41" s="12"/>
      <c r="D41" s="12"/>
      <c r="E41" s="240"/>
      <c r="F41" s="12"/>
      <c r="G41" s="12"/>
      <c r="H41" s="12" t="s">
        <v>814</v>
      </c>
      <c r="I41" s="12"/>
      <c r="K41" s="12" t="s">
        <v>815</v>
      </c>
      <c r="L41" s="12"/>
      <c r="M41" s="12"/>
      <c r="N41" s="240"/>
      <c r="O41" s="12"/>
      <c r="P41" s="12"/>
      <c r="Q41" s="12"/>
      <c r="R41" s="12"/>
      <c r="S41" s="12"/>
      <c r="T41" s="12"/>
      <c r="U41" s="819"/>
    </row>
    <row r="42" spans="1:26" ht="12.75" customHeight="1">
      <c r="A42" s="28"/>
      <c r="B42" s="12" t="s">
        <v>816</v>
      </c>
      <c r="C42" s="12"/>
      <c r="D42" s="12"/>
      <c r="E42" s="240"/>
      <c r="F42" s="12"/>
      <c r="G42" s="12"/>
      <c r="H42" s="12"/>
      <c r="I42" s="12"/>
      <c r="K42" s="12"/>
      <c r="L42" s="12"/>
      <c r="M42" s="12"/>
      <c r="N42" s="240"/>
      <c r="O42" s="12"/>
      <c r="P42" s="12"/>
      <c r="Q42" s="12"/>
      <c r="R42" s="12"/>
      <c r="S42" s="12"/>
      <c r="T42" s="12"/>
      <c r="U42" s="819"/>
    </row>
    <row r="43" spans="1:26" ht="12.75" customHeight="1">
      <c r="A43" s="28"/>
      <c r="B43" s="12" t="s">
        <v>817</v>
      </c>
      <c r="C43" s="12"/>
      <c r="D43" s="12"/>
      <c r="E43" s="240"/>
      <c r="F43" s="12"/>
      <c r="G43" s="12"/>
      <c r="H43" s="12"/>
      <c r="I43" s="12"/>
      <c r="K43" s="12"/>
      <c r="L43" s="12"/>
      <c r="M43" s="12"/>
      <c r="N43" s="240"/>
      <c r="O43" s="12"/>
      <c r="P43" s="12"/>
      <c r="Q43" s="12"/>
      <c r="R43" s="12"/>
      <c r="S43" s="12"/>
      <c r="T43" s="12"/>
      <c r="U43" s="819"/>
    </row>
    <row r="44" spans="1:26" ht="12.75" customHeight="1">
      <c r="A44" s="28"/>
      <c r="B44" s="12" t="s">
        <v>818</v>
      </c>
      <c r="C44" s="12"/>
      <c r="D44" s="12"/>
      <c r="E44" s="240"/>
      <c r="F44" s="12"/>
      <c r="G44" s="12"/>
      <c r="H44" s="12"/>
      <c r="I44" s="12"/>
      <c r="J44" s="12" t="s">
        <v>819</v>
      </c>
      <c r="K44" s="12"/>
      <c r="L44" s="12"/>
      <c r="M44" s="12"/>
      <c r="N44" s="240"/>
      <c r="O44" s="12"/>
      <c r="P44" s="12"/>
      <c r="Q44" s="12"/>
      <c r="R44" s="12"/>
      <c r="S44" s="12"/>
      <c r="T44" s="12"/>
      <c r="U44" s="819"/>
    </row>
    <row r="45" spans="1:26" ht="12.75" customHeight="1">
      <c r="A45" s="28"/>
      <c r="B45" s="12" t="s">
        <v>820</v>
      </c>
      <c r="C45" s="12"/>
      <c r="D45" s="12"/>
      <c r="E45" s="240"/>
      <c r="F45" s="12"/>
      <c r="G45" s="12"/>
      <c r="H45" s="12"/>
      <c r="I45" s="12"/>
      <c r="K45" s="12"/>
      <c r="L45" s="12"/>
      <c r="M45" s="12"/>
      <c r="N45" s="240"/>
      <c r="O45" s="29" t="s">
        <v>821</v>
      </c>
      <c r="P45" s="12"/>
      <c r="Q45" s="12"/>
      <c r="R45" s="12"/>
      <c r="S45" s="12"/>
      <c r="T45" s="12"/>
      <c r="U45" s="819"/>
    </row>
    <row r="46" spans="1:26" ht="12.75" customHeight="1">
      <c r="A46" s="28"/>
      <c r="B46" s="12" t="s">
        <v>822</v>
      </c>
      <c r="C46" s="12"/>
      <c r="D46" s="12"/>
      <c r="E46" s="240"/>
      <c r="F46" s="12"/>
      <c r="G46" s="12"/>
      <c r="H46" s="12"/>
      <c r="I46" s="12"/>
      <c r="K46" s="12" t="s">
        <v>823</v>
      </c>
      <c r="L46" s="12"/>
      <c r="M46" s="12"/>
      <c r="N46" s="240"/>
      <c r="O46" s="12"/>
      <c r="P46" s="12"/>
      <c r="Q46" s="12"/>
      <c r="R46" s="12"/>
      <c r="S46" s="12"/>
      <c r="T46" s="12"/>
      <c r="U46" s="819"/>
    </row>
    <row r="47" spans="1:26" ht="12.75" customHeight="1">
      <c r="A47" s="28"/>
      <c r="B47" s="12" t="s">
        <v>824</v>
      </c>
      <c r="C47" s="12"/>
      <c r="D47" s="12"/>
      <c r="E47" s="240"/>
      <c r="F47" s="12"/>
      <c r="G47" s="30"/>
      <c r="H47" s="12"/>
      <c r="I47" s="12"/>
      <c r="J47" s="12" t="s">
        <v>825</v>
      </c>
      <c r="K47" s="12"/>
      <c r="L47" s="12"/>
      <c r="M47" s="12"/>
      <c r="N47" s="240"/>
      <c r="O47" s="46" t="str">
        <f>HYPERLINK("mailto:camericacora@yahoo.com.ar","camericacora@yahoo.com.ar")</f>
        <v>camericacora@yahoo.com.ar</v>
      </c>
      <c r="P47" s="12"/>
      <c r="Q47" s="12"/>
      <c r="R47" s="12"/>
      <c r="S47" s="12"/>
      <c r="T47" s="12"/>
      <c r="U47" s="819"/>
    </row>
    <row r="48" spans="1:26" ht="12.75">
      <c r="A48" s="215"/>
      <c r="B48" t="s">
        <v>826</v>
      </c>
      <c r="X48">
        <v>21284066535</v>
      </c>
    </row>
    <row r="49" spans="1:22" ht="14.25" customHeight="1">
      <c r="A49" s="28"/>
      <c r="B49" s="12" t="s">
        <v>827</v>
      </c>
      <c r="C49" s="12"/>
      <c r="D49" s="12"/>
      <c r="E49" s="240"/>
      <c r="F49" s="12"/>
      <c r="G49" s="87"/>
      <c r="H49" s="35" t="s">
        <v>828</v>
      </c>
      <c r="I49" s="12"/>
      <c r="K49" s="12"/>
      <c r="L49" s="12"/>
      <c r="M49" s="12"/>
      <c r="N49" s="240"/>
      <c r="O49" s="12"/>
      <c r="P49" s="12"/>
      <c r="Q49" s="12"/>
      <c r="R49" s="12" t="s">
        <v>829</v>
      </c>
      <c r="S49" s="12"/>
      <c r="T49" s="12"/>
      <c r="U49" s="819"/>
    </row>
    <row r="50" spans="1:22" ht="12.75" customHeight="1">
      <c r="A50" s="28"/>
      <c r="B50" s="12" t="s">
        <v>830</v>
      </c>
      <c r="C50" s="12"/>
      <c r="D50" s="12"/>
      <c r="E50" s="240"/>
      <c r="F50" s="12"/>
      <c r="G50" s="87"/>
      <c r="H50" s="12" t="s">
        <v>831</v>
      </c>
      <c r="I50" s="12"/>
      <c r="J50" s="12" t="s">
        <v>825</v>
      </c>
      <c r="K50" s="12"/>
      <c r="L50" s="12"/>
      <c r="M50" s="12"/>
      <c r="N50" s="240"/>
      <c r="O50" s="12"/>
      <c r="P50" s="12"/>
      <c r="Q50" s="12"/>
      <c r="R50" s="12"/>
      <c r="S50" s="12"/>
      <c r="T50" s="12"/>
      <c r="U50" s="819"/>
    </row>
    <row r="51" spans="1:22" ht="12.75" customHeight="1">
      <c r="A51" s="28"/>
      <c r="B51" s="12" t="s">
        <v>832</v>
      </c>
      <c r="C51" s="12"/>
      <c r="D51" s="12"/>
      <c r="E51" s="240"/>
      <c r="F51" s="12"/>
      <c r="G51" s="87"/>
      <c r="H51" s="12" t="s">
        <v>833</v>
      </c>
      <c r="I51" s="12"/>
      <c r="K51" s="12"/>
      <c r="L51" s="12"/>
      <c r="M51" s="12"/>
      <c r="N51" s="240"/>
      <c r="O51" s="12"/>
      <c r="P51" s="12"/>
      <c r="Q51" s="12"/>
      <c r="R51" s="12"/>
      <c r="S51" s="12"/>
      <c r="T51" s="12"/>
      <c r="U51" s="819"/>
    </row>
    <row r="52" spans="1:22">
      <c r="A52" s="28"/>
      <c r="B52" s="36" t="s">
        <v>834</v>
      </c>
      <c r="C52" s="36"/>
      <c r="D52" s="36"/>
      <c r="E52" s="240"/>
      <c r="F52" s="12"/>
      <c r="G52" s="87"/>
      <c r="H52" s="12" t="s">
        <v>835</v>
      </c>
      <c r="I52" s="12"/>
      <c r="K52" s="12"/>
      <c r="L52" s="12"/>
      <c r="M52" s="12"/>
      <c r="N52" s="240"/>
      <c r="O52" s="12"/>
      <c r="P52" s="12"/>
      <c r="Q52" s="12"/>
      <c r="R52" s="12"/>
      <c r="S52" s="12"/>
      <c r="T52" s="12"/>
      <c r="U52" s="819"/>
    </row>
    <row r="53" spans="1:22" ht="12.75" customHeight="1">
      <c r="A53" s="28"/>
      <c r="B53" s="12" t="s">
        <v>836</v>
      </c>
      <c r="C53" s="12"/>
      <c r="D53" s="12"/>
      <c r="E53" s="240"/>
      <c r="F53" s="12"/>
      <c r="G53" s="87"/>
      <c r="H53" s="12"/>
      <c r="I53" s="12"/>
      <c r="K53" s="12"/>
      <c r="L53" s="12"/>
      <c r="M53" s="12"/>
      <c r="N53" s="240"/>
      <c r="O53" s="46" t="str">
        <f>HYPERLINK("mailto:alfon10@hotmail.com","alfon10@hotmail.com")</f>
        <v>alfon10@hotmail.com</v>
      </c>
      <c r="P53" s="12"/>
      <c r="Q53" s="12"/>
      <c r="R53" s="12"/>
      <c r="S53" s="12"/>
      <c r="T53" s="12"/>
      <c r="U53" s="819"/>
    </row>
    <row r="54" spans="1:22">
      <c r="A54" s="28"/>
      <c r="B54" s="36" t="s">
        <v>208</v>
      </c>
      <c r="C54" s="36"/>
      <c r="D54" s="36"/>
      <c r="E54" s="240"/>
      <c r="F54" s="12"/>
      <c r="G54" s="87"/>
      <c r="H54" s="12"/>
      <c r="I54" s="12"/>
      <c r="K54" s="12"/>
      <c r="L54" s="12"/>
      <c r="M54" s="12"/>
      <c r="N54" s="240"/>
      <c r="O54" s="12"/>
      <c r="P54" s="12"/>
      <c r="Q54" s="12"/>
      <c r="R54" s="12"/>
      <c r="S54" s="12"/>
      <c r="T54" s="12"/>
      <c r="U54" s="819"/>
    </row>
    <row r="55" spans="1:22">
      <c r="A55" s="28"/>
      <c r="B55" s="36" t="s">
        <v>837</v>
      </c>
      <c r="C55" s="36"/>
      <c r="D55" s="36"/>
      <c r="E55" s="240"/>
      <c r="F55" s="12"/>
      <c r="G55" s="87"/>
      <c r="H55" s="12" t="s">
        <v>838</v>
      </c>
      <c r="I55" s="12"/>
      <c r="K55" s="12"/>
      <c r="L55" s="12"/>
      <c r="M55" s="12"/>
      <c r="N55" s="240"/>
      <c r="O55" s="12"/>
      <c r="P55" s="12"/>
      <c r="Q55" s="12"/>
      <c r="R55" s="12"/>
      <c r="S55" s="12"/>
      <c r="T55" s="12"/>
      <c r="U55" s="819"/>
    </row>
    <row r="56" spans="1:22" ht="15.75" customHeight="1">
      <c r="A56" s="28"/>
      <c r="B56" s="36" t="s">
        <v>839</v>
      </c>
      <c r="C56" s="36"/>
      <c r="D56" s="36"/>
      <c r="E56" s="240"/>
      <c r="F56" s="12"/>
      <c r="G56" s="12"/>
      <c r="H56" s="12"/>
      <c r="I56" s="12"/>
      <c r="K56" s="12"/>
      <c r="L56" s="12"/>
      <c r="M56" s="12"/>
      <c r="N56" s="240"/>
      <c r="O56" s="38" t="s">
        <v>840</v>
      </c>
      <c r="P56" s="12"/>
      <c r="Q56" s="12"/>
      <c r="R56" s="12"/>
      <c r="S56" s="12"/>
      <c r="T56" s="12"/>
      <c r="U56" s="819"/>
    </row>
    <row r="57" spans="1:22">
      <c r="A57" s="28"/>
      <c r="B57" s="36" t="s">
        <v>841</v>
      </c>
      <c r="C57" s="36"/>
      <c r="D57" s="36"/>
      <c r="E57" s="240"/>
      <c r="F57" s="12"/>
      <c r="G57" s="12"/>
      <c r="H57" s="12"/>
      <c r="I57" s="12"/>
      <c r="K57" s="12"/>
      <c r="L57" s="12"/>
      <c r="M57" s="12"/>
      <c r="N57" s="240"/>
      <c r="O57" s="12"/>
      <c r="P57" s="12"/>
      <c r="Q57" s="12"/>
      <c r="R57" s="12"/>
      <c r="S57" s="12"/>
      <c r="T57" s="12"/>
      <c r="U57" s="819"/>
    </row>
    <row r="58" spans="1:22" ht="12.75" customHeight="1">
      <c r="A58" s="28"/>
      <c r="B58" s="12" t="s">
        <v>842</v>
      </c>
      <c r="C58" s="12"/>
      <c r="D58" s="12"/>
      <c r="E58" s="240"/>
      <c r="F58" s="12"/>
      <c r="G58" s="12"/>
      <c r="H58" s="12"/>
      <c r="I58" s="12"/>
      <c r="K58" s="12"/>
      <c r="L58" s="12"/>
      <c r="M58" s="12"/>
      <c r="N58" s="240"/>
      <c r="O58" s="47" t="str">
        <f>HYPERLINK("mailto:mnaCuello@gmail.com","mnaCuello@gmail.com")</f>
        <v>mnaCuello@gmail.com</v>
      </c>
      <c r="P58" s="12"/>
      <c r="Q58" s="12"/>
      <c r="R58" s="12"/>
      <c r="S58" s="12"/>
      <c r="T58" s="12"/>
      <c r="U58" s="819"/>
    </row>
    <row r="59" spans="1:22" ht="12.75" customHeight="1">
      <c r="A59" s="28"/>
      <c r="B59" s="12" t="s">
        <v>843</v>
      </c>
      <c r="C59" s="12"/>
      <c r="D59" s="12"/>
      <c r="E59" s="240"/>
      <c r="F59" s="12"/>
      <c r="G59" s="12"/>
      <c r="H59" s="12"/>
      <c r="I59" s="12"/>
      <c r="J59" s="12" t="s">
        <v>844</v>
      </c>
      <c r="K59" s="12"/>
      <c r="L59" s="12"/>
      <c r="M59" s="12"/>
      <c r="N59" s="240"/>
      <c r="O59" s="12"/>
      <c r="P59" s="12"/>
      <c r="Q59" s="12"/>
      <c r="R59" s="12"/>
      <c r="S59" s="12"/>
      <c r="T59" s="12"/>
      <c r="U59" s="819"/>
      <c r="V59" s="12" t="s">
        <v>845</v>
      </c>
    </row>
    <row r="60" spans="1:22" ht="12.75" customHeight="1">
      <c r="A60" s="28"/>
      <c r="B60" s="12" t="s">
        <v>846</v>
      </c>
      <c r="C60" s="12"/>
      <c r="D60" s="12"/>
      <c r="E60" s="240"/>
      <c r="F60" s="12"/>
      <c r="G60" s="12"/>
      <c r="H60" s="12"/>
      <c r="I60" s="12"/>
      <c r="K60" s="12" t="s">
        <v>847</v>
      </c>
      <c r="L60" s="12"/>
      <c r="M60" s="12"/>
      <c r="N60" s="240"/>
      <c r="O60" s="12"/>
      <c r="P60" s="12"/>
      <c r="Q60" s="12"/>
      <c r="R60" s="12"/>
      <c r="S60" s="12"/>
      <c r="T60" s="12"/>
      <c r="U60" s="819"/>
    </row>
    <row r="61" spans="1:22" ht="12.75">
      <c r="A61" s="215"/>
      <c r="B61" t="s">
        <v>848</v>
      </c>
      <c r="J61" t="s">
        <v>849</v>
      </c>
    </row>
    <row r="62" spans="1:22" ht="12.75">
      <c r="A62" s="215"/>
      <c r="B62" t="s">
        <v>850</v>
      </c>
      <c r="J62" t="s">
        <v>851</v>
      </c>
    </row>
    <row r="63" spans="1:22" ht="12.75">
      <c r="A63" s="215"/>
    </row>
    <row r="64" spans="1:22" ht="12.75">
      <c r="A64" s="215"/>
      <c r="B64" t="s">
        <v>852</v>
      </c>
      <c r="H64" t="s">
        <v>853</v>
      </c>
      <c r="K64" t="s">
        <v>779</v>
      </c>
    </row>
    <row r="65" spans="1:21" ht="12.75">
      <c r="A65" s="215"/>
    </row>
    <row r="66" spans="1:21" ht="12.75" customHeight="1">
      <c r="A66" s="28"/>
      <c r="B66" s="12" t="s">
        <v>854</v>
      </c>
      <c r="C66" s="12"/>
      <c r="D66" s="12"/>
      <c r="E66" s="240"/>
      <c r="F66" s="12"/>
      <c r="G66" s="12"/>
      <c r="H66" s="12" t="s">
        <v>855</v>
      </c>
      <c r="I66" s="12"/>
      <c r="K66" s="12"/>
      <c r="L66" s="12"/>
      <c r="M66" s="12"/>
      <c r="N66" s="240"/>
      <c r="O66" s="12"/>
      <c r="P66" s="12"/>
      <c r="Q66" s="12"/>
      <c r="R66" s="12"/>
      <c r="S66" s="12"/>
      <c r="T66" s="12"/>
      <c r="U66" s="819"/>
    </row>
    <row r="67" spans="1:21" ht="12.75" customHeight="1">
      <c r="A67" s="28"/>
      <c r="B67" s="12" t="s">
        <v>856</v>
      </c>
      <c r="C67" s="12"/>
      <c r="D67" s="12"/>
      <c r="E67" s="240"/>
      <c r="F67" s="12"/>
      <c r="G67" s="12"/>
      <c r="H67" s="12"/>
      <c r="I67" s="12"/>
      <c r="K67" s="12"/>
      <c r="L67" s="12"/>
      <c r="M67" s="12"/>
      <c r="N67" s="240"/>
      <c r="O67" s="12"/>
      <c r="P67" s="12"/>
      <c r="Q67" s="12"/>
      <c r="R67" s="12"/>
      <c r="S67" s="12"/>
      <c r="T67" s="12"/>
      <c r="U67" s="819"/>
    </row>
    <row r="68" spans="1:21" ht="12.75">
      <c r="A68" s="215"/>
    </row>
    <row r="69" spans="1:21" ht="12.75" customHeight="1">
      <c r="A69" s="28"/>
      <c r="B69" s="12" t="s">
        <v>857</v>
      </c>
      <c r="C69" s="12"/>
      <c r="D69" s="12"/>
      <c r="E69" s="240"/>
      <c r="F69" s="12"/>
      <c r="G69" s="12"/>
      <c r="H69" s="12"/>
      <c r="I69" s="12"/>
      <c r="K69" s="12"/>
      <c r="L69" s="12"/>
      <c r="M69" s="12"/>
      <c r="N69" s="240"/>
      <c r="O69" s="47" t="str">
        <f>HYPERLINK("mailto:alejandroMerenda@gmail.com","alejandroMerenda@gmail.com")</f>
        <v>alejandroMerenda@gmail.com</v>
      </c>
      <c r="P69" s="12"/>
      <c r="Q69" s="12"/>
      <c r="R69" s="12"/>
      <c r="S69" s="12"/>
      <c r="T69" s="12"/>
      <c r="U69" s="819"/>
    </row>
    <row r="70" spans="1:21" ht="12.75" customHeight="1">
      <c r="A70" s="28"/>
      <c r="B70" s="12" t="s">
        <v>858</v>
      </c>
      <c r="C70" s="12"/>
      <c r="D70" s="12"/>
      <c r="E70" s="240"/>
      <c r="F70" s="12"/>
      <c r="G70" s="12"/>
      <c r="H70" s="12" t="s">
        <v>859</v>
      </c>
      <c r="I70" s="12"/>
      <c r="K70" s="12"/>
      <c r="L70" s="12"/>
      <c r="M70" s="12"/>
      <c r="N70" s="240"/>
      <c r="O70" s="47" t="str">
        <f>HYPERLINK("mailto:carlosMontin@hotmail.com","carlosMontin@hotmail.com")</f>
        <v>carlosMontin@hotmail.com</v>
      </c>
      <c r="P70" s="12"/>
      <c r="Q70" s="12"/>
      <c r="R70" s="12"/>
      <c r="S70" s="12"/>
      <c r="T70" s="12"/>
      <c r="U70" s="819"/>
    </row>
    <row r="72" spans="1:21" ht="12.75" customHeight="1">
      <c r="A72" s="28"/>
      <c r="B72" s="12" t="s">
        <v>860</v>
      </c>
      <c r="C72" s="12"/>
      <c r="D72" s="12"/>
      <c r="E72" s="240"/>
      <c r="F72" s="12"/>
      <c r="G72" s="30">
        <v>23337</v>
      </c>
      <c r="H72" s="12" t="s">
        <v>861</v>
      </c>
      <c r="I72" s="12"/>
      <c r="K72" s="12"/>
      <c r="L72" s="12"/>
      <c r="M72" s="12"/>
      <c r="N72" s="240"/>
      <c r="O72" s="12"/>
      <c r="P72" s="12"/>
      <c r="Q72" s="12"/>
      <c r="R72" s="12"/>
      <c r="S72" s="12"/>
      <c r="T72" s="12"/>
      <c r="U72" s="819"/>
    </row>
    <row r="73" spans="1:21" ht="12.75" customHeight="1">
      <c r="A73" s="28"/>
      <c r="B73" s="12" t="s">
        <v>862</v>
      </c>
      <c r="C73" s="12"/>
      <c r="D73" s="12"/>
      <c r="E73" s="240"/>
      <c r="F73" s="12"/>
      <c r="G73" s="12"/>
      <c r="H73" s="12"/>
      <c r="I73" s="12"/>
      <c r="K73" s="12" t="s">
        <v>863</v>
      </c>
      <c r="L73" s="12"/>
      <c r="M73" s="12"/>
      <c r="N73" s="240"/>
      <c r="O73" s="12"/>
      <c r="P73" s="12"/>
      <c r="Q73" s="12"/>
      <c r="R73" s="12"/>
      <c r="S73" s="12"/>
      <c r="T73" s="12"/>
      <c r="U73" s="819"/>
    </row>
    <row r="74" spans="1:21" ht="12.75" customHeight="1">
      <c r="A74" s="28"/>
      <c r="B74" s="12" t="s">
        <v>864</v>
      </c>
      <c r="C74" s="12"/>
      <c r="D74" s="12"/>
      <c r="E74" s="240"/>
      <c r="F74" s="12"/>
      <c r="G74" s="12"/>
      <c r="H74" s="12"/>
      <c r="I74" s="12"/>
      <c r="J74" s="12" t="s">
        <v>865</v>
      </c>
      <c r="K74" s="12"/>
      <c r="L74" s="12"/>
      <c r="M74" s="12"/>
      <c r="N74" s="240"/>
      <c r="O74" s="12"/>
      <c r="P74" s="12"/>
      <c r="Q74" s="12"/>
      <c r="R74" s="12"/>
      <c r="S74" s="12"/>
      <c r="T74" s="12"/>
      <c r="U74" s="819"/>
    </row>
    <row r="75" spans="1:21" ht="12.75" customHeight="1">
      <c r="A75" s="28"/>
      <c r="B75" s="12" t="s">
        <v>866</v>
      </c>
      <c r="C75" s="12"/>
      <c r="D75" s="12"/>
      <c r="E75" s="240"/>
      <c r="F75" s="12"/>
      <c r="G75" s="12"/>
      <c r="H75" s="12"/>
      <c r="I75" s="12"/>
      <c r="J75" s="12" t="s">
        <v>867</v>
      </c>
      <c r="K75" s="12"/>
      <c r="L75" s="12"/>
      <c r="M75" s="12"/>
      <c r="N75" s="240"/>
      <c r="O75" s="12"/>
      <c r="P75" s="12"/>
      <c r="Q75" s="12"/>
      <c r="R75" s="12"/>
      <c r="S75" s="12"/>
      <c r="T75" s="12"/>
      <c r="U75" s="819"/>
    </row>
    <row r="76" spans="1:21" ht="12.75" customHeight="1">
      <c r="A76" s="28"/>
      <c r="B76" s="48" t="str">
        <f>HYPERLINK("mailto:mabelerivad@hotmail.com","Rivadulla mabel")</f>
        <v>Rivadulla mabel</v>
      </c>
      <c r="C76" s="50"/>
      <c r="D76" s="50"/>
      <c r="E76" s="240"/>
      <c r="F76" s="12"/>
      <c r="G76" s="87"/>
      <c r="H76" s="12"/>
      <c r="I76" s="12"/>
      <c r="K76" s="12"/>
      <c r="L76" s="12"/>
      <c r="M76" s="12"/>
      <c r="N76" s="240"/>
      <c r="O76" s="46" t="str">
        <f>HYPERLINK("mailto:mabelerivad@hotmail.com","mabelerivad@hotmail.com")</f>
        <v>mabelerivad@hotmail.com</v>
      </c>
      <c r="P76" s="12"/>
      <c r="Q76" s="12"/>
      <c r="R76" s="12"/>
      <c r="S76" s="12"/>
      <c r="T76" s="12"/>
      <c r="U76" s="819"/>
    </row>
    <row r="77" spans="1:21" ht="12.75" customHeight="1">
      <c r="A77" s="28"/>
      <c r="B77" s="50" t="s">
        <v>868</v>
      </c>
      <c r="C77" s="50"/>
      <c r="D77" s="50"/>
      <c r="E77" s="240"/>
      <c r="F77" s="12" t="s">
        <v>869</v>
      </c>
      <c r="G77" s="87"/>
      <c r="H77" s="12" t="s">
        <v>870</v>
      </c>
      <c r="I77" s="12"/>
      <c r="K77" s="12"/>
      <c r="L77" s="12"/>
      <c r="M77" s="12"/>
      <c r="N77" s="240"/>
      <c r="O77" s="46"/>
      <c r="P77" s="12"/>
      <c r="Q77" s="12"/>
      <c r="R77" s="12"/>
      <c r="S77" s="12"/>
      <c r="T77" s="12"/>
      <c r="U77" s="819"/>
    </row>
    <row r="78" spans="1:21" ht="12.75" customHeight="1">
      <c r="A78" s="28"/>
      <c r="B78" s="12" t="s">
        <v>871</v>
      </c>
      <c r="C78" s="12"/>
      <c r="D78" s="12"/>
      <c r="E78" s="240"/>
      <c r="F78" s="12"/>
      <c r="G78" s="87"/>
      <c r="H78" s="12"/>
      <c r="I78" s="12"/>
      <c r="K78" s="12"/>
      <c r="L78" s="12"/>
      <c r="M78" s="12"/>
      <c r="N78" s="240"/>
      <c r="O78" s="12"/>
      <c r="P78" s="12"/>
      <c r="Q78" s="12"/>
      <c r="R78" s="12"/>
      <c r="S78" s="12"/>
      <c r="T78" s="12"/>
      <c r="U78" s="819"/>
    </row>
    <row r="79" spans="1:21" ht="12.75" customHeight="1">
      <c r="A79" s="28"/>
      <c r="B79" s="12" t="s">
        <v>872</v>
      </c>
      <c r="C79" s="12"/>
      <c r="D79" s="12"/>
      <c r="E79" s="240"/>
      <c r="F79" s="12"/>
      <c r="G79" s="87"/>
      <c r="H79" s="12"/>
      <c r="I79" s="12"/>
      <c r="J79" s="12" t="s">
        <v>873</v>
      </c>
      <c r="K79" s="12"/>
      <c r="L79" s="12"/>
      <c r="M79" s="12"/>
      <c r="N79" s="240"/>
      <c r="O79" s="12"/>
      <c r="P79" s="12"/>
      <c r="Q79" s="12"/>
      <c r="R79" s="12"/>
      <c r="S79" s="12"/>
      <c r="T79" s="12"/>
      <c r="U79" s="819"/>
    </row>
    <row r="80" spans="1:21" ht="12.75" customHeight="1">
      <c r="A80" s="28"/>
      <c r="B80" s="12" t="s">
        <v>874</v>
      </c>
      <c r="C80" s="12"/>
      <c r="D80" s="12"/>
      <c r="E80" s="240"/>
      <c r="F80" s="12"/>
      <c r="G80" s="87"/>
      <c r="H80" s="25" t="s">
        <v>875</v>
      </c>
      <c r="I80" s="25" t="s">
        <v>876</v>
      </c>
      <c r="K80" s="12"/>
      <c r="L80" s="12"/>
      <c r="M80" s="12"/>
      <c r="N80" s="240"/>
      <c r="O80" s="12"/>
      <c r="P80" s="12"/>
      <c r="Q80" s="12"/>
      <c r="R80" s="12"/>
      <c r="S80" s="12"/>
      <c r="T80" s="12"/>
      <c r="U80" s="819"/>
    </row>
    <row r="81" spans="1:21" ht="15" customHeight="1">
      <c r="G81" s="71"/>
    </row>
    <row r="82" spans="1:21" ht="12.75" customHeight="1">
      <c r="A82" s="28"/>
      <c r="B82" s="12" t="s">
        <v>877</v>
      </c>
      <c r="C82" s="12"/>
      <c r="D82" s="12"/>
      <c r="E82" s="240"/>
      <c r="F82" s="12" t="s">
        <v>878</v>
      </c>
      <c r="G82" s="87"/>
      <c r="H82" s="12" t="s">
        <v>879</v>
      </c>
      <c r="I82" s="12"/>
      <c r="J82" s="12" t="s">
        <v>880</v>
      </c>
      <c r="K82" s="12"/>
      <c r="L82" s="12"/>
      <c r="M82" s="12"/>
      <c r="N82" s="240"/>
      <c r="O82" s="12"/>
      <c r="P82" s="12"/>
      <c r="Q82" s="12"/>
      <c r="R82" s="12"/>
      <c r="S82" s="12"/>
      <c r="T82" s="12"/>
      <c r="U82" s="819"/>
    </row>
    <row r="83" spans="1:21" ht="12.75" customHeight="1">
      <c r="A83" s="28"/>
      <c r="B83" s="12" t="s">
        <v>881</v>
      </c>
      <c r="C83" s="12"/>
      <c r="D83" s="12"/>
      <c r="E83" s="240"/>
      <c r="F83" s="12"/>
      <c r="G83" s="87"/>
      <c r="H83" s="12" t="s">
        <v>882</v>
      </c>
      <c r="I83" s="12" t="s">
        <v>883</v>
      </c>
      <c r="J83" s="12" t="s">
        <v>884</v>
      </c>
      <c r="K83" s="12" t="s">
        <v>779</v>
      </c>
      <c r="L83" s="12"/>
      <c r="M83" s="12"/>
      <c r="N83" s="240"/>
      <c r="O83" s="46" t="str">
        <f>HYPERLINK("mailto:marvichotel@gmail.com","marvichotel@gmail.com")</f>
        <v>marvichotel@gmail.com</v>
      </c>
      <c r="Q83" s="46" t="str">
        <f>HYPERLINK("http://hotelmarvicsanpedro.com/","http://hotelmarvicsanpedro.com")</f>
        <v>http://hotelmarvicsanpedro.com</v>
      </c>
      <c r="R83" s="12"/>
      <c r="S83" s="12"/>
      <c r="T83" s="12"/>
      <c r="U83" s="819"/>
    </row>
    <row r="84" spans="1:21" ht="12.75" customHeight="1">
      <c r="A84" s="28"/>
      <c r="B84" s="12" t="s">
        <v>885</v>
      </c>
      <c r="C84" s="12"/>
      <c r="D84" s="12"/>
      <c r="E84" s="240"/>
      <c r="F84" s="12"/>
      <c r="G84" s="87"/>
      <c r="H84" s="12" t="s">
        <v>886</v>
      </c>
      <c r="I84" s="12" t="s">
        <v>887</v>
      </c>
      <c r="J84" s="12" t="s">
        <v>888</v>
      </c>
      <c r="K84" s="12"/>
      <c r="L84" s="12"/>
      <c r="M84" s="12"/>
      <c r="N84" s="240"/>
      <c r="O84" s="12"/>
      <c r="P84" s="12"/>
      <c r="Q84" s="12"/>
      <c r="R84" s="12"/>
      <c r="S84" s="12"/>
      <c r="T84" s="12"/>
      <c r="U84" s="819"/>
    </row>
    <row r="85" spans="1:21" ht="12.75" customHeight="1">
      <c r="A85" s="28"/>
      <c r="B85" s="12" t="s">
        <v>889</v>
      </c>
      <c r="C85" s="12"/>
      <c r="D85" s="12"/>
      <c r="E85" s="240"/>
      <c r="F85" s="12"/>
      <c r="G85" s="87"/>
      <c r="H85" s="12"/>
      <c r="I85" s="12"/>
      <c r="J85" s="12" t="s">
        <v>890</v>
      </c>
      <c r="K85" s="12"/>
      <c r="L85" s="12"/>
      <c r="M85" s="12"/>
      <c r="N85" s="240"/>
      <c r="O85" s="46" t="str">
        <f>HYPERLINK("mailto:jorgibelli@yahoo.com.ar","jorgibelli@yahoo.com.ar")</f>
        <v>jorgibelli@yahoo.com.ar</v>
      </c>
      <c r="P85" s="12"/>
      <c r="Q85" s="12"/>
      <c r="R85" s="12"/>
      <c r="S85" s="12"/>
      <c r="T85" s="12"/>
      <c r="U85" s="819"/>
    </row>
    <row r="86" spans="1:21" ht="12.75" customHeight="1">
      <c r="A86" s="28"/>
      <c r="B86" s="12" t="s">
        <v>891</v>
      </c>
      <c r="C86" s="12"/>
      <c r="D86" s="12"/>
      <c r="E86" s="240"/>
      <c r="F86" s="12"/>
      <c r="G86" s="87"/>
      <c r="H86" s="12" t="s">
        <v>892</v>
      </c>
      <c r="I86" s="12"/>
      <c r="J86" s="12" t="s">
        <v>893</v>
      </c>
      <c r="K86" s="12"/>
      <c r="L86" s="12"/>
      <c r="M86" s="12"/>
      <c r="N86" s="240"/>
      <c r="O86" s="12"/>
      <c r="P86" s="12"/>
      <c r="Q86" s="12"/>
      <c r="R86" s="12"/>
      <c r="S86" s="12"/>
      <c r="T86" s="12"/>
      <c r="U86" s="819"/>
    </row>
    <row r="87" spans="1:21" ht="12.75">
      <c r="A87" s="215"/>
    </row>
    <row r="88" spans="1:21" ht="12.75" customHeight="1">
      <c r="A88" s="28"/>
      <c r="B88" s="12" t="s">
        <v>894</v>
      </c>
      <c r="C88" s="12"/>
      <c r="D88" s="12"/>
      <c r="E88" s="240"/>
      <c r="F88" s="12"/>
      <c r="G88" s="12"/>
      <c r="H88" s="12" t="s">
        <v>895</v>
      </c>
      <c r="I88" s="12"/>
      <c r="K88" s="12" t="s">
        <v>815</v>
      </c>
      <c r="L88" s="12"/>
      <c r="M88" s="12"/>
      <c r="N88" s="240"/>
      <c r="O88" s="12"/>
      <c r="P88" s="12"/>
      <c r="Q88" s="12"/>
      <c r="R88" s="12"/>
      <c r="S88" s="12"/>
      <c r="T88" s="12" t="s">
        <v>896</v>
      </c>
      <c r="U88" s="819"/>
    </row>
    <row r="89" spans="1:21" ht="12.75" customHeight="1">
      <c r="A89" s="28"/>
      <c r="B89" s="12" t="s">
        <v>897</v>
      </c>
      <c r="C89" s="12"/>
      <c r="D89" s="12"/>
      <c r="E89" s="240"/>
      <c r="F89" s="12" t="s">
        <v>898</v>
      </c>
      <c r="G89" s="12"/>
      <c r="H89" s="12"/>
      <c r="I89" s="12"/>
      <c r="J89" s="12" t="s">
        <v>899</v>
      </c>
      <c r="K89" s="12" t="s">
        <v>900</v>
      </c>
      <c r="L89" s="12"/>
      <c r="M89" s="12"/>
      <c r="N89" s="240"/>
      <c r="O89" s="12"/>
      <c r="P89" s="12"/>
      <c r="Q89" s="12"/>
      <c r="R89" s="12"/>
      <c r="S89" s="12"/>
      <c r="T89" s="12"/>
      <c r="U89" s="819"/>
    </row>
    <row r="90" spans="1:21" ht="12.75" customHeight="1">
      <c r="A90" s="28"/>
      <c r="B90" s="12"/>
      <c r="C90" s="12"/>
      <c r="D90" s="12"/>
      <c r="E90" s="240"/>
      <c r="F90" s="12"/>
      <c r="G90" s="12"/>
      <c r="H90" s="12"/>
      <c r="I90" s="12"/>
      <c r="J90" s="12"/>
      <c r="K90" s="12"/>
      <c r="L90" s="12"/>
      <c r="M90" s="12"/>
      <c r="N90" s="240"/>
      <c r="O90" s="12"/>
      <c r="P90" s="12"/>
      <c r="Q90" s="12"/>
      <c r="R90" s="12"/>
      <c r="S90" s="12"/>
      <c r="T90" s="12"/>
      <c r="U90" s="819"/>
    </row>
    <row r="91" spans="1:21" ht="12.75" customHeight="1">
      <c r="A91" s="28"/>
      <c r="B91" s="12" t="s">
        <v>901</v>
      </c>
      <c r="C91" s="12"/>
      <c r="D91" s="12"/>
      <c r="E91" s="240"/>
      <c r="F91" s="12"/>
      <c r="G91" s="12"/>
      <c r="H91" s="12" t="s">
        <v>902</v>
      </c>
      <c r="I91" s="12"/>
      <c r="J91" s="12"/>
      <c r="K91" s="12"/>
      <c r="L91" s="12"/>
      <c r="M91" s="12"/>
      <c r="N91" s="240"/>
      <c r="O91" s="12"/>
      <c r="P91" s="12"/>
      <c r="Q91" s="12"/>
      <c r="R91" s="12"/>
      <c r="S91" s="12"/>
      <c r="T91" s="12"/>
      <c r="U91" s="819"/>
    </row>
    <row r="92" spans="1:21" ht="12.75">
      <c r="A92" s="215"/>
    </row>
    <row r="93" spans="1:21" ht="12.75" customHeight="1">
      <c r="A93" s="28"/>
      <c r="B93" s="12" t="s">
        <v>903</v>
      </c>
      <c r="C93" s="12"/>
      <c r="D93" s="12"/>
      <c r="E93" s="240"/>
      <c r="F93" s="12"/>
      <c r="G93" s="12"/>
      <c r="H93" s="12" t="s">
        <v>904</v>
      </c>
      <c r="I93" s="12"/>
      <c r="J93" s="12" t="s">
        <v>905</v>
      </c>
      <c r="K93" s="12" t="s">
        <v>906</v>
      </c>
      <c r="L93" s="12"/>
      <c r="M93" s="12"/>
      <c r="N93" s="240"/>
      <c r="O93" s="12"/>
      <c r="P93" s="12"/>
      <c r="Q93" s="12"/>
      <c r="R93" s="12"/>
      <c r="S93" s="12"/>
      <c r="T93" s="12"/>
      <c r="U93" s="819"/>
    </row>
    <row r="94" spans="1:21" ht="12.75" customHeight="1">
      <c r="A94" s="28"/>
      <c r="B94" s="12" t="s">
        <v>907</v>
      </c>
      <c r="C94" s="12"/>
      <c r="D94" s="12"/>
      <c r="E94" s="240"/>
      <c r="F94" s="12"/>
      <c r="G94" s="12"/>
      <c r="H94" s="12"/>
      <c r="I94" s="12"/>
      <c r="K94" s="12"/>
      <c r="L94" s="12"/>
      <c r="M94" s="12"/>
      <c r="N94" s="240"/>
      <c r="O94" s="12"/>
      <c r="P94" s="12"/>
      <c r="Q94" s="12"/>
      <c r="R94" s="12"/>
      <c r="S94" s="12"/>
      <c r="T94" s="12"/>
      <c r="U94" s="819"/>
    </row>
    <row r="95" spans="1:21" ht="12.75" customHeight="1">
      <c r="A95" s="31"/>
      <c r="B95" s="12" t="s">
        <v>908</v>
      </c>
      <c r="C95" s="12"/>
      <c r="D95" s="12"/>
      <c r="E95" s="240"/>
      <c r="F95" s="12"/>
      <c r="G95" s="30"/>
      <c r="H95" s="12" t="s">
        <v>909</v>
      </c>
      <c r="I95" s="12"/>
      <c r="K95" s="12"/>
      <c r="L95" s="12"/>
      <c r="M95" s="12"/>
      <c r="N95" s="240"/>
      <c r="O95" s="12"/>
      <c r="P95" s="12"/>
      <c r="Q95" s="12"/>
      <c r="R95" s="12"/>
      <c r="S95" s="12"/>
      <c r="T95" s="12"/>
      <c r="U95" s="819"/>
    </row>
    <row r="96" spans="1:21" ht="12.75">
      <c r="A96" s="215"/>
    </row>
    <row r="97" spans="1:23" ht="12.75">
      <c r="A97" s="215">
        <v>1265718</v>
      </c>
      <c r="B97" t="s">
        <v>910</v>
      </c>
    </row>
    <row r="98" spans="1:23" ht="12.75">
      <c r="A98" s="215">
        <v>2957123</v>
      </c>
      <c r="B98" t="s">
        <v>911</v>
      </c>
    </row>
    <row r="99" spans="1:23" ht="12.75">
      <c r="A99" s="215"/>
    </row>
    <row r="100" spans="1:23" ht="12.75">
      <c r="A100" s="215"/>
      <c r="B100" t="s">
        <v>912</v>
      </c>
      <c r="F100" s="49" t="s">
        <v>913</v>
      </c>
    </row>
    <row r="101" spans="1:23" ht="12.75">
      <c r="A101" s="215"/>
      <c r="B101" t="s">
        <v>914</v>
      </c>
      <c r="F101" s="49" t="s">
        <v>915</v>
      </c>
    </row>
    <row r="102" spans="1:23" ht="12.75">
      <c r="A102" s="215"/>
    </row>
    <row r="103" spans="1:23" ht="12.75">
      <c r="A103" s="215"/>
      <c r="B103" t="s">
        <v>916</v>
      </c>
      <c r="H103" t="s">
        <v>917</v>
      </c>
      <c r="T103" t="s">
        <v>918</v>
      </c>
    </row>
    <row r="104" spans="1:23" ht="12.75">
      <c r="A104" s="215"/>
    </row>
    <row r="105" spans="1:23" ht="12.75">
      <c r="A105" s="215">
        <v>53672564</v>
      </c>
      <c r="B105" t="s">
        <v>919</v>
      </c>
      <c r="E105">
        <v>300</v>
      </c>
      <c r="F105" s="49"/>
      <c r="L105" s="49" t="s">
        <v>920</v>
      </c>
      <c r="M105" t="s">
        <v>921</v>
      </c>
      <c r="O105" s="395" t="s">
        <v>922</v>
      </c>
      <c r="W105" t="s">
        <v>923</v>
      </c>
    </row>
    <row r="106" spans="1:23" ht="12.75">
      <c r="A106" s="215"/>
    </row>
    <row r="107" spans="1:23" ht="12.75">
      <c r="A107" s="215"/>
      <c r="B107" t="s">
        <v>924</v>
      </c>
    </row>
    <row r="108" spans="1:23" ht="12.75">
      <c r="A108" s="215"/>
    </row>
    <row r="109" spans="1:23" ht="12.75">
      <c r="A109" s="215"/>
      <c r="B109" t="s">
        <v>925</v>
      </c>
    </row>
    <row r="110" spans="1:23" ht="12.75">
      <c r="A110" s="215"/>
    </row>
    <row r="111" spans="1:23" ht="12.75">
      <c r="A111" s="215"/>
      <c r="B111" t="s">
        <v>926</v>
      </c>
    </row>
    <row r="112" spans="1:23" ht="12.75">
      <c r="A112" s="215"/>
    </row>
    <row r="113" spans="1:15" ht="12.75">
      <c r="A113" s="215"/>
      <c r="B113" t="s">
        <v>927</v>
      </c>
    </row>
    <row r="114" spans="1:15" ht="12.75">
      <c r="A114" s="215"/>
    </row>
    <row r="115" spans="1:15" ht="12.75">
      <c r="A115" s="215"/>
      <c r="B115" t="s">
        <v>928</v>
      </c>
    </row>
    <row r="116" spans="1:15" ht="12.75">
      <c r="A116" s="215"/>
      <c r="B116" t="s">
        <v>929</v>
      </c>
    </row>
    <row r="117" spans="1:15" ht="12.75">
      <c r="A117" s="215"/>
      <c r="B117" t="s">
        <v>930</v>
      </c>
    </row>
    <row r="118" spans="1:15" ht="12.75">
      <c r="A118" s="215"/>
    </row>
    <row r="119" spans="1:15" ht="12.75">
      <c r="A119" s="215"/>
      <c r="B119" t="s">
        <v>931</v>
      </c>
    </row>
    <row r="120" spans="1:15" ht="12.75">
      <c r="A120" s="215"/>
    </row>
    <row r="121" spans="1:15" ht="12.75">
      <c r="A121" s="215"/>
      <c r="B121" t="s">
        <v>932</v>
      </c>
      <c r="F121" s="743" t="s">
        <v>933</v>
      </c>
    </row>
    <row r="122" spans="1:15" ht="12.75">
      <c r="A122" s="215"/>
    </row>
    <row r="123" spans="1:15" ht="12.75">
      <c r="A123" s="215"/>
      <c r="B123" t="s">
        <v>934</v>
      </c>
    </row>
    <row r="124" spans="1:15" ht="12.75">
      <c r="A124" s="215"/>
    </row>
    <row r="125" spans="1:15" ht="12.75">
      <c r="A125" s="215"/>
      <c r="B125" t="s">
        <v>935</v>
      </c>
    </row>
    <row r="126" spans="1:15" ht="12.75">
      <c r="A126" s="215"/>
    </row>
    <row r="127" spans="1:15" ht="12.75">
      <c r="A127" s="215"/>
      <c r="B127" t="s">
        <v>936</v>
      </c>
      <c r="O127" s="70" t="s">
        <v>937</v>
      </c>
    </row>
    <row r="128" spans="1:15" ht="12.75">
      <c r="A128" s="215"/>
    </row>
    <row r="129" spans="1:15" ht="12.75">
      <c r="A129" s="215"/>
      <c r="B129" t="s">
        <v>938</v>
      </c>
    </row>
    <row r="130" spans="1:15" ht="12.75">
      <c r="A130" s="215"/>
    </row>
    <row r="131" spans="1:15" ht="18">
      <c r="A131" s="215"/>
      <c r="B131" s="70" t="s">
        <v>939</v>
      </c>
      <c r="F131" s="614" t="s">
        <v>940</v>
      </c>
      <c r="H131">
        <v>53451709</v>
      </c>
    </row>
    <row r="132" spans="1:15" ht="12.75">
      <c r="A132" s="215"/>
    </row>
    <row r="133" spans="1:15" ht="12.75">
      <c r="A133" s="215"/>
      <c r="B133" t="s">
        <v>941</v>
      </c>
    </row>
    <row r="134" spans="1:15" ht="12.75">
      <c r="A134" s="215"/>
    </row>
    <row r="135" spans="1:15" ht="12.75">
      <c r="A135" s="215"/>
      <c r="B135" s="70" t="s">
        <v>942</v>
      </c>
      <c r="F135" t="s">
        <v>943</v>
      </c>
    </row>
    <row r="136" spans="1:15" ht="12.75">
      <c r="A136" s="215"/>
    </row>
    <row r="137" spans="1:15" ht="12.75">
      <c r="A137" s="215"/>
      <c r="B137" t="s">
        <v>944</v>
      </c>
    </row>
    <row r="138" spans="1:15" ht="12.75">
      <c r="A138" s="215"/>
    </row>
    <row r="139" spans="1:15" ht="12.75">
      <c r="A139" s="215"/>
      <c r="B139" s="70" t="s">
        <v>945</v>
      </c>
      <c r="C139" t="s">
        <v>946</v>
      </c>
      <c r="F139" t="s">
        <v>947</v>
      </c>
      <c r="H139" t="s">
        <v>948</v>
      </c>
      <c r="I139" t="s">
        <v>949</v>
      </c>
    </row>
    <row r="140" spans="1:15" ht="12.75">
      <c r="A140" s="215"/>
    </row>
    <row r="141" spans="1:15" ht="12.75">
      <c r="A141" s="215"/>
      <c r="C141" t="s">
        <v>950</v>
      </c>
      <c r="F141" t="s">
        <v>951</v>
      </c>
    </row>
    <row r="142" spans="1:15" ht="12.75">
      <c r="A142" s="215"/>
    </row>
    <row r="143" spans="1:15" ht="12.75">
      <c r="A143" s="709" t="s">
        <v>952</v>
      </c>
      <c r="B143" t="s">
        <v>953</v>
      </c>
      <c r="F143" t="s">
        <v>954</v>
      </c>
      <c r="L143" s="49" t="s">
        <v>955</v>
      </c>
      <c r="O143" s="70" t="s">
        <v>937</v>
      </c>
    </row>
    <row r="144" spans="1:15" ht="12.75">
      <c r="A144" s="215"/>
    </row>
    <row r="145" spans="1:2" ht="12.75">
      <c r="A145" s="215"/>
    </row>
    <row r="146" spans="1:2" ht="12.75">
      <c r="A146" s="215"/>
      <c r="B146">
        <v>2248400</v>
      </c>
    </row>
    <row r="147" spans="1:2" ht="12.75">
      <c r="A147" s="215"/>
      <c r="B147">
        <v>1943075</v>
      </c>
    </row>
    <row r="148" spans="1:2" ht="12.75">
      <c r="A148" s="215"/>
      <c r="B148">
        <v>1731336</v>
      </c>
    </row>
    <row r="149" spans="1:2" ht="12.75">
      <c r="A149" s="215"/>
      <c r="B149">
        <v>299619</v>
      </c>
    </row>
    <row r="150" spans="1:2" ht="12.75">
      <c r="A150" s="215"/>
      <c r="B150">
        <v>2264870</v>
      </c>
    </row>
    <row r="151" spans="1:2" ht="12.75">
      <c r="A151" s="215"/>
      <c r="B151">
        <v>511929</v>
      </c>
    </row>
    <row r="152" spans="1:2" ht="12.75">
      <c r="A152" s="215"/>
    </row>
    <row r="153" spans="1:2" ht="12.75">
      <c r="A153" s="215"/>
      <c r="B153">
        <f>SUM(B146:B152)</f>
        <v>8999229</v>
      </c>
    </row>
    <row r="154" spans="1:2" ht="12.75">
      <c r="A154" s="215"/>
    </row>
    <row r="155" spans="1:2" ht="12.75">
      <c r="A155" s="215"/>
    </row>
    <row r="156" spans="1:2" ht="12.75">
      <c r="A156" s="215"/>
    </row>
    <row r="157" spans="1:2" ht="12.75">
      <c r="A157" s="215"/>
    </row>
    <row r="158" spans="1:2" ht="12.75">
      <c r="A158" s="215"/>
    </row>
    <row r="159" spans="1:2" ht="12.75">
      <c r="A159" s="215"/>
    </row>
    <row r="160" spans="1:2" ht="12.75">
      <c r="A160" s="215"/>
    </row>
    <row r="161" spans="1:1" ht="12.75">
      <c r="A161" s="215"/>
    </row>
    <row r="162" spans="1:1" ht="12.75">
      <c r="A162" s="215"/>
    </row>
    <row r="163" spans="1:1" ht="12.75">
      <c r="A163" s="215"/>
    </row>
    <row r="164" spans="1:1" ht="12.75">
      <c r="A164" s="215"/>
    </row>
    <row r="165" spans="1:1" ht="12.75">
      <c r="A165" s="215"/>
    </row>
    <row r="166" spans="1:1" ht="12.75">
      <c r="A166" s="215"/>
    </row>
    <row r="167" spans="1:1" ht="12.75">
      <c r="A167" s="215"/>
    </row>
    <row r="168" spans="1:1" ht="12.75">
      <c r="A168" s="215"/>
    </row>
    <row r="169" spans="1:1" ht="12.75">
      <c r="A169" s="215"/>
    </row>
    <row r="170" spans="1:1" ht="12.75">
      <c r="A170" s="215"/>
    </row>
    <row r="171" spans="1:1" ht="12.75">
      <c r="A171" s="215"/>
    </row>
    <row r="172" spans="1:1" ht="12.75">
      <c r="A172" s="215"/>
    </row>
    <row r="173" spans="1:1" ht="12.75">
      <c r="A173" s="215"/>
    </row>
    <row r="174" spans="1:1" ht="12.75">
      <c r="A174" s="215"/>
    </row>
    <row r="175" spans="1:1" ht="12.75">
      <c r="A175" s="215"/>
    </row>
    <row r="176" spans="1:1" ht="12.75">
      <c r="A176" s="215"/>
    </row>
    <row r="177" spans="1:1" ht="12.75">
      <c r="A177" s="215"/>
    </row>
    <row r="178" spans="1:1" ht="12.75">
      <c r="A178" s="215"/>
    </row>
    <row r="179" spans="1:1" ht="12.75">
      <c r="A179" s="215"/>
    </row>
    <row r="180" spans="1:1" ht="12.75">
      <c r="A180" s="215"/>
    </row>
    <row r="181" spans="1:1" ht="12.75">
      <c r="A181" s="215"/>
    </row>
    <row r="182" spans="1:1" ht="12.75">
      <c r="A182" s="215"/>
    </row>
    <row r="183" spans="1:1" ht="12.75">
      <c r="A183" s="215"/>
    </row>
    <row r="184" spans="1:1" ht="12.75">
      <c r="A184" s="215"/>
    </row>
    <row r="185" spans="1:1" ht="12.75">
      <c r="A185" s="215"/>
    </row>
    <row r="186" spans="1:1" ht="12.75">
      <c r="A186" s="215"/>
    </row>
    <row r="187" spans="1:1" ht="12.75">
      <c r="A187" s="215"/>
    </row>
    <row r="188" spans="1:1" ht="12.75">
      <c r="A188" s="215"/>
    </row>
    <row r="189" spans="1:1" ht="12.75">
      <c r="A189" s="215"/>
    </row>
    <row r="190" spans="1:1" ht="12.75">
      <c r="A190" s="215"/>
    </row>
    <row r="191" spans="1:1" ht="12.75">
      <c r="A191" s="215"/>
    </row>
    <row r="192" spans="1:1" ht="12.75">
      <c r="A192" s="215"/>
    </row>
    <row r="193" spans="1:1" ht="12.75">
      <c r="A193" s="215"/>
    </row>
    <row r="194" spans="1:1" ht="12.75">
      <c r="A194" s="215"/>
    </row>
    <row r="195" spans="1:1" ht="12.75">
      <c r="A195" s="215"/>
    </row>
    <row r="196" spans="1:1" ht="12.75">
      <c r="A196" s="215"/>
    </row>
    <row r="197" spans="1:1" ht="12.75">
      <c r="A197" s="215"/>
    </row>
    <row r="198" spans="1:1" ht="12.75">
      <c r="A198" s="215"/>
    </row>
    <row r="199" spans="1:1" ht="12.75">
      <c r="A199" s="215"/>
    </row>
    <row r="200" spans="1:1" ht="12.75">
      <c r="A200" s="215"/>
    </row>
    <row r="201" spans="1:1" ht="12.75">
      <c r="A201" s="215"/>
    </row>
    <row r="202" spans="1:1" ht="12.75">
      <c r="A202" s="215"/>
    </row>
    <row r="203" spans="1:1" ht="12.75">
      <c r="A203" s="215"/>
    </row>
    <row r="204" spans="1:1" ht="12.75">
      <c r="A204" s="215"/>
    </row>
    <row r="205" spans="1:1" ht="12.75">
      <c r="A205" s="215"/>
    </row>
    <row r="206" spans="1:1" ht="12.75">
      <c r="A206" s="215"/>
    </row>
    <row r="207" spans="1:1" ht="12.75">
      <c r="A207" s="215"/>
    </row>
    <row r="208" spans="1:1" ht="12.75">
      <c r="A208" s="215"/>
    </row>
    <row r="209" spans="1:1" ht="12.75">
      <c r="A209" s="215"/>
    </row>
    <row r="210" spans="1:1" ht="12.75">
      <c r="A210" s="215"/>
    </row>
    <row r="211" spans="1:1" ht="12.75">
      <c r="A211" s="215"/>
    </row>
    <row r="212" spans="1:1" ht="12.75">
      <c r="A212" s="215"/>
    </row>
    <row r="213" spans="1:1" ht="12.75">
      <c r="A213" s="215"/>
    </row>
    <row r="214" spans="1:1" ht="12.75">
      <c r="A214" s="215"/>
    </row>
    <row r="215" spans="1:1" ht="12.75">
      <c r="A215" s="215"/>
    </row>
    <row r="216" spans="1:1" ht="12.75">
      <c r="A216" s="215"/>
    </row>
    <row r="217" spans="1:1" ht="12.75">
      <c r="A217" s="215"/>
    </row>
    <row r="218" spans="1:1" ht="12.75">
      <c r="A218" s="215"/>
    </row>
    <row r="219" spans="1:1" ht="12.75">
      <c r="A219" s="215"/>
    </row>
    <row r="220" spans="1:1" ht="12.75">
      <c r="A220" s="215"/>
    </row>
    <row r="221" spans="1:1" ht="12.75">
      <c r="A221" s="215"/>
    </row>
    <row r="222" spans="1:1" ht="12.75">
      <c r="A222" s="215"/>
    </row>
    <row r="223" spans="1:1" ht="12.75">
      <c r="A223" s="215"/>
    </row>
    <row r="224" spans="1:1" ht="12.75">
      <c r="A224" s="215"/>
    </row>
    <row r="225" spans="1:1" ht="12.75">
      <c r="A225" s="215"/>
    </row>
    <row r="226" spans="1:1" ht="12.75">
      <c r="A226" s="215"/>
    </row>
    <row r="227" spans="1:1" ht="12.75">
      <c r="A227" s="215"/>
    </row>
    <row r="228" spans="1:1" ht="12.75">
      <c r="A228" s="215"/>
    </row>
    <row r="229" spans="1:1" ht="12.75">
      <c r="A229" s="215"/>
    </row>
    <row r="230" spans="1:1" ht="12.75">
      <c r="A230" s="215"/>
    </row>
    <row r="231" spans="1:1" ht="12.75">
      <c r="A231" s="215"/>
    </row>
    <row r="232" spans="1:1" ht="12.75">
      <c r="A232" s="215"/>
    </row>
    <row r="233" spans="1:1" ht="12.75">
      <c r="A233" s="215"/>
    </row>
    <row r="234" spans="1:1" ht="12.75">
      <c r="A234" s="215"/>
    </row>
    <row r="235" spans="1:1" ht="12.75">
      <c r="A235" s="215"/>
    </row>
    <row r="236" spans="1:1" ht="12.75">
      <c r="A236" s="215"/>
    </row>
    <row r="237" spans="1:1" ht="12.75">
      <c r="A237" s="215"/>
    </row>
    <row r="238" spans="1:1" ht="12.75">
      <c r="A238" s="215"/>
    </row>
    <row r="239" spans="1:1" ht="12.75">
      <c r="A239" s="215"/>
    </row>
    <row r="240" spans="1:1" ht="12.75">
      <c r="A240" s="215"/>
    </row>
    <row r="241" spans="1:1" ht="12.75">
      <c r="A241" s="215"/>
    </row>
    <row r="242" spans="1:1" ht="12.75">
      <c r="A242" s="215"/>
    </row>
    <row r="243" spans="1:1" ht="12.75">
      <c r="A243" s="215"/>
    </row>
    <row r="244" spans="1:1" ht="12.75">
      <c r="A244" s="215"/>
    </row>
    <row r="245" spans="1:1" ht="12.75">
      <c r="A245" s="215"/>
    </row>
    <row r="246" spans="1:1" ht="12.75">
      <c r="A246" s="215"/>
    </row>
    <row r="247" spans="1:1" ht="12.75">
      <c r="A247" s="215"/>
    </row>
    <row r="248" spans="1:1" ht="12.75">
      <c r="A248" s="215"/>
    </row>
    <row r="249" spans="1:1" ht="12.75">
      <c r="A249" s="215"/>
    </row>
    <row r="250" spans="1:1" ht="12.75">
      <c r="A250" s="215"/>
    </row>
    <row r="251" spans="1:1" ht="12.75">
      <c r="A251" s="215"/>
    </row>
    <row r="252" spans="1:1" ht="12.75">
      <c r="A252" s="215"/>
    </row>
    <row r="253" spans="1:1" ht="12.75">
      <c r="A253" s="215"/>
    </row>
    <row r="254" spans="1:1" ht="12.75">
      <c r="A254" s="215"/>
    </row>
    <row r="255" spans="1:1" ht="12.75">
      <c r="A255" s="215"/>
    </row>
    <row r="256" spans="1:1" ht="12.75">
      <c r="A256" s="215"/>
    </row>
    <row r="257" spans="1:1" ht="12.75">
      <c r="A257" s="215"/>
    </row>
    <row r="258" spans="1:1" ht="12.75">
      <c r="A258" s="215"/>
    </row>
    <row r="259" spans="1:1" ht="12.75">
      <c r="A259" s="215"/>
    </row>
    <row r="260" spans="1:1" ht="12.75">
      <c r="A260" s="215"/>
    </row>
    <row r="261" spans="1:1" ht="12.75">
      <c r="A261" s="215"/>
    </row>
    <row r="262" spans="1:1" ht="12.75">
      <c r="A262" s="215"/>
    </row>
    <row r="263" spans="1:1" ht="12.75">
      <c r="A263" s="215"/>
    </row>
    <row r="264" spans="1:1" ht="12.75">
      <c r="A264" s="215"/>
    </row>
    <row r="265" spans="1:1" ht="12.75">
      <c r="A265" s="215"/>
    </row>
    <row r="266" spans="1:1" ht="12.75">
      <c r="A266" s="215"/>
    </row>
    <row r="267" spans="1:1" ht="12.75">
      <c r="A267" s="215"/>
    </row>
    <row r="268" spans="1:1" ht="12.75">
      <c r="A268" s="215"/>
    </row>
    <row r="269" spans="1:1" ht="12.75">
      <c r="A269" s="215"/>
    </row>
    <row r="270" spans="1:1" ht="12.75">
      <c r="A270" s="215"/>
    </row>
    <row r="271" spans="1:1" ht="12.75">
      <c r="A271" s="215"/>
    </row>
    <row r="272" spans="1:1" ht="12.75">
      <c r="A272" s="215"/>
    </row>
    <row r="273" spans="1:1" ht="12.75">
      <c r="A273" s="215"/>
    </row>
    <row r="274" spans="1:1" ht="12.75">
      <c r="A274" s="215"/>
    </row>
    <row r="275" spans="1:1" ht="12.75">
      <c r="A275" s="215"/>
    </row>
    <row r="276" spans="1:1" ht="12.75">
      <c r="A276" s="215"/>
    </row>
    <row r="277" spans="1:1" ht="12.75">
      <c r="A277" s="215"/>
    </row>
    <row r="278" spans="1:1" ht="12.75">
      <c r="A278" s="215"/>
    </row>
    <row r="279" spans="1:1" ht="12.75">
      <c r="A279" s="215"/>
    </row>
    <row r="280" spans="1:1" ht="12.75">
      <c r="A280" s="215"/>
    </row>
    <row r="281" spans="1:1" ht="12.75">
      <c r="A281" s="215"/>
    </row>
    <row r="282" spans="1:1" ht="12.75">
      <c r="A282" s="215"/>
    </row>
    <row r="283" spans="1:1" ht="12.75">
      <c r="A283" s="215"/>
    </row>
    <row r="284" spans="1:1" ht="12.75">
      <c r="A284" s="215"/>
    </row>
    <row r="285" spans="1:1" ht="12.75">
      <c r="A285" s="215"/>
    </row>
    <row r="286" spans="1:1" ht="12.75">
      <c r="A286" s="215"/>
    </row>
    <row r="287" spans="1:1" ht="12.75">
      <c r="A287" s="215"/>
    </row>
    <row r="288" spans="1:1" ht="12.75">
      <c r="A288" s="215"/>
    </row>
    <row r="289" spans="1:1" ht="12.75">
      <c r="A289" s="215"/>
    </row>
    <row r="290" spans="1:1" ht="12.75">
      <c r="A290" s="215"/>
    </row>
    <row r="291" spans="1:1" ht="12.75">
      <c r="A291" s="215"/>
    </row>
    <row r="292" spans="1:1" ht="12.75">
      <c r="A292" s="215"/>
    </row>
    <row r="293" spans="1:1" ht="12.75">
      <c r="A293" s="215"/>
    </row>
    <row r="294" spans="1:1" ht="12.75">
      <c r="A294" s="215"/>
    </row>
    <row r="295" spans="1:1" ht="12.75">
      <c r="A295" s="215"/>
    </row>
    <row r="296" spans="1:1" ht="12.75">
      <c r="A296" s="215"/>
    </row>
    <row r="297" spans="1:1" ht="12.75">
      <c r="A297" s="215"/>
    </row>
    <row r="298" spans="1:1" ht="12.75">
      <c r="A298" s="215"/>
    </row>
    <row r="299" spans="1:1" ht="12.75">
      <c r="A299" s="215"/>
    </row>
    <row r="300" spans="1:1" ht="12.75">
      <c r="A300" s="215"/>
    </row>
    <row r="301" spans="1:1" ht="12.75">
      <c r="A301" s="215"/>
    </row>
    <row r="302" spans="1:1" ht="12.75">
      <c r="A302" s="215"/>
    </row>
    <row r="303" spans="1:1" ht="12.75">
      <c r="A303" s="215"/>
    </row>
    <row r="304" spans="1:1" ht="12.75">
      <c r="A304" s="215"/>
    </row>
    <row r="305" spans="1:1" ht="12.75">
      <c r="A305" s="215"/>
    </row>
    <row r="306" spans="1:1" ht="12.75">
      <c r="A306" s="215"/>
    </row>
    <row r="307" spans="1:1" ht="12.75">
      <c r="A307" s="215"/>
    </row>
    <row r="308" spans="1:1" ht="12.75">
      <c r="A308" s="215"/>
    </row>
    <row r="309" spans="1:1" ht="12.75">
      <c r="A309" s="215"/>
    </row>
    <row r="310" spans="1:1" ht="12.75">
      <c r="A310" s="215"/>
    </row>
    <row r="311" spans="1:1" ht="12.75">
      <c r="A311" s="215"/>
    </row>
    <row r="312" spans="1:1" ht="12.75">
      <c r="A312" s="215"/>
    </row>
    <row r="313" spans="1:1" ht="12.75">
      <c r="A313" s="215"/>
    </row>
    <row r="314" spans="1:1" ht="12.75">
      <c r="A314" s="215"/>
    </row>
    <row r="315" spans="1:1" ht="12.75">
      <c r="A315" s="215"/>
    </row>
    <row r="316" spans="1:1" ht="12.75">
      <c r="A316" s="215"/>
    </row>
    <row r="317" spans="1:1" ht="12.75">
      <c r="A317" s="215"/>
    </row>
    <row r="318" spans="1:1" ht="12.75">
      <c r="A318" s="215"/>
    </row>
    <row r="319" spans="1:1" ht="12.75">
      <c r="A319" s="215"/>
    </row>
    <row r="320" spans="1:1" ht="12.75">
      <c r="A320" s="215"/>
    </row>
    <row r="321" spans="1:1" ht="12.75">
      <c r="A321" s="215"/>
    </row>
    <row r="322" spans="1:1" ht="12.75">
      <c r="A322" s="215"/>
    </row>
    <row r="323" spans="1:1" ht="12.75">
      <c r="A323" s="215"/>
    </row>
    <row r="324" spans="1:1" ht="12.75">
      <c r="A324" s="215"/>
    </row>
    <row r="325" spans="1:1" ht="12.75">
      <c r="A325" s="215"/>
    </row>
    <row r="326" spans="1:1" ht="12.75">
      <c r="A326" s="215"/>
    </row>
    <row r="327" spans="1:1" ht="12.75">
      <c r="A327" s="215"/>
    </row>
    <row r="328" spans="1:1" ht="12.75">
      <c r="A328" s="215"/>
    </row>
    <row r="329" spans="1:1" ht="12.75">
      <c r="A329" s="215"/>
    </row>
    <row r="330" spans="1:1" ht="12.75">
      <c r="A330" s="215"/>
    </row>
    <row r="331" spans="1:1" ht="12.75">
      <c r="A331" s="215"/>
    </row>
    <row r="332" spans="1:1" ht="12.75">
      <c r="A332" s="215"/>
    </row>
    <row r="333" spans="1:1" ht="12.75">
      <c r="A333" s="215"/>
    </row>
    <row r="334" spans="1:1" ht="12.75">
      <c r="A334" s="215"/>
    </row>
    <row r="335" spans="1:1" ht="12.75">
      <c r="A335" s="215"/>
    </row>
    <row r="336" spans="1:1" ht="12.75">
      <c r="A336" s="215"/>
    </row>
    <row r="337" spans="1:1" ht="12.75">
      <c r="A337" s="215"/>
    </row>
    <row r="338" spans="1:1" ht="12.75">
      <c r="A338" s="215"/>
    </row>
    <row r="339" spans="1:1" ht="12.75">
      <c r="A339" s="215"/>
    </row>
    <row r="340" spans="1:1" ht="12.75">
      <c r="A340" s="215"/>
    </row>
    <row r="341" spans="1:1" ht="12.75">
      <c r="A341" s="215"/>
    </row>
    <row r="342" spans="1:1" ht="12.75">
      <c r="A342" s="215"/>
    </row>
    <row r="343" spans="1:1" ht="12.75">
      <c r="A343" s="215"/>
    </row>
    <row r="344" spans="1:1" ht="12.75">
      <c r="A344" s="215"/>
    </row>
    <row r="345" spans="1:1" ht="12.75">
      <c r="A345" s="215"/>
    </row>
    <row r="346" spans="1:1" ht="12.75">
      <c r="A346" s="215"/>
    </row>
    <row r="347" spans="1:1" ht="12.75">
      <c r="A347" s="215"/>
    </row>
    <row r="348" spans="1:1" ht="12.75">
      <c r="A348" s="215"/>
    </row>
    <row r="349" spans="1:1" ht="12.75">
      <c r="A349" s="215"/>
    </row>
    <row r="350" spans="1:1" ht="12.75">
      <c r="A350" s="215"/>
    </row>
    <row r="351" spans="1:1" ht="12.75">
      <c r="A351" s="215"/>
    </row>
    <row r="352" spans="1:1" ht="12.75">
      <c r="A352" s="215"/>
    </row>
    <row r="353" spans="1:1" ht="12.75">
      <c r="A353" s="215"/>
    </row>
    <row r="354" spans="1:1" ht="12.75">
      <c r="A354" s="215"/>
    </row>
    <row r="355" spans="1:1" ht="12.75">
      <c r="A355" s="215"/>
    </row>
    <row r="356" spans="1:1" ht="12.75">
      <c r="A356" s="215"/>
    </row>
    <row r="357" spans="1:1" ht="12.75">
      <c r="A357" s="215"/>
    </row>
    <row r="358" spans="1:1" ht="12.75">
      <c r="A358" s="215"/>
    </row>
    <row r="359" spans="1:1" ht="12.75">
      <c r="A359" s="215"/>
    </row>
    <row r="360" spans="1:1" ht="12.75">
      <c r="A360" s="215"/>
    </row>
    <row r="361" spans="1:1" ht="12.75">
      <c r="A361" s="215"/>
    </row>
    <row r="362" spans="1:1" ht="12.75">
      <c r="A362" s="215"/>
    </row>
    <row r="363" spans="1:1" ht="12.75">
      <c r="A363" s="215"/>
    </row>
    <row r="364" spans="1:1" ht="12.75">
      <c r="A364" s="215"/>
    </row>
    <row r="365" spans="1:1" ht="12.75">
      <c r="A365" s="215"/>
    </row>
    <row r="366" spans="1:1" ht="12.75">
      <c r="A366" s="215"/>
    </row>
    <row r="367" spans="1:1" ht="12.75">
      <c r="A367" s="215"/>
    </row>
    <row r="368" spans="1:1" ht="12.75">
      <c r="A368" s="215"/>
    </row>
    <row r="369" spans="1:1" ht="12.75">
      <c r="A369" s="215"/>
    </row>
    <row r="370" spans="1:1" ht="12.75">
      <c r="A370" s="215"/>
    </row>
    <row r="371" spans="1:1" ht="12.75">
      <c r="A371" s="215"/>
    </row>
    <row r="372" spans="1:1" ht="12.75">
      <c r="A372" s="215"/>
    </row>
    <row r="373" spans="1:1" ht="12.75">
      <c r="A373" s="215"/>
    </row>
    <row r="374" spans="1:1" ht="12.75">
      <c r="A374" s="215"/>
    </row>
    <row r="375" spans="1:1" ht="12.75">
      <c r="A375" s="215"/>
    </row>
    <row r="376" spans="1:1" ht="12.75">
      <c r="A376" s="215"/>
    </row>
    <row r="377" spans="1:1" ht="12.75">
      <c r="A377" s="215"/>
    </row>
    <row r="378" spans="1:1" ht="12.75">
      <c r="A378" s="215"/>
    </row>
    <row r="379" spans="1:1" ht="12.75">
      <c r="A379" s="215"/>
    </row>
    <row r="380" spans="1:1" ht="12.75">
      <c r="A380" s="215"/>
    </row>
    <row r="381" spans="1:1" ht="12.75">
      <c r="A381" s="215"/>
    </row>
    <row r="382" spans="1:1" ht="12.75">
      <c r="A382" s="215"/>
    </row>
    <row r="383" spans="1:1" ht="12.75">
      <c r="A383" s="215"/>
    </row>
    <row r="384" spans="1:1" ht="12.75">
      <c r="A384" s="215"/>
    </row>
    <row r="385" spans="1:1" ht="12.75">
      <c r="A385" s="215"/>
    </row>
    <row r="386" spans="1:1" ht="12.75">
      <c r="A386" s="215"/>
    </row>
    <row r="387" spans="1:1" ht="12.75">
      <c r="A387" s="215"/>
    </row>
    <row r="388" spans="1:1" ht="12.75">
      <c r="A388" s="215"/>
    </row>
    <row r="389" spans="1:1" ht="12.75">
      <c r="A389" s="215"/>
    </row>
    <row r="390" spans="1:1" ht="12.75">
      <c r="A390" s="215"/>
    </row>
    <row r="391" spans="1:1" ht="12.75">
      <c r="A391" s="215"/>
    </row>
    <row r="392" spans="1:1" ht="12.75">
      <c r="A392" s="215"/>
    </row>
    <row r="393" spans="1:1" ht="12.75">
      <c r="A393" s="215"/>
    </row>
    <row r="394" spans="1:1" ht="12.75">
      <c r="A394" s="215"/>
    </row>
    <row r="395" spans="1:1" ht="12.75">
      <c r="A395" s="215"/>
    </row>
    <row r="396" spans="1:1" ht="12.75">
      <c r="A396" s="215"/>
    </row>
    <row r="397" spans="1:1" ht="12.75">
      <c r="A397" s="215"/>
    </row>
    <row r="398" spans="1:1" ht="12.75">
      <c r="A398" s="215"/>
    </row>
    <row r="399" spans="1:1" ht="12.75">
      <c r="A399" s="215"/>
    </row>
    <row r="400" spans="1:1" ht="12.75">
      <c r="A400" s="215"/>
    </row>
    <row r="401" spans="1:1" ht="12.75">
      <c r="A401" s="215"/>
    </row>
    <row r="402" spans="1:1" ht="12.75">
      <c r="A402" s="215"/>
    </row>
    <row r="403" spans="1:1" ht="12.75">
      <c r="A403" s="215"/>
    </row>
    <row r="404" spans="1:1" ht="12.75">
      <c r="A404" s="215"/>
    </row>
    <row r="405" spans="1:1" ht="12.75">
      <c r="A405" s="215"/>
    </row>
    <row r="406" spans="1:1" ht="12.75">
      <c r="A406" s="215"/>
    </row>
    <row r="407" spans="1:1" ht="12.75">
      <c r="A407" s="215"/>
    </row>
    <row r="408" spans="1:1" ht="12.75">
      <c r="A408" s="215"/>
    </row>
    <row r="409" spans="1:1" ht="12.75">
      <c r="A409" s="215"/>
    </row>
    <row r="410" spans="1:1" ht="12.75">
      <c r="A410" s="215"/>
    </row>
    <row r="411" spans="1:1" ht="12.75">
      <c r="A411" s="215"/>
    </row>
    <row r="412" spans="1:1" ht="12.75">
      <c r="A412" s="215"/>
    </row>
    <row r="413" spans="1:1" ht="12.75">
      <c r="A413" s="215"/>
    </row>
    <row r="414" spans="1:1" ht="12.75">
      <c r="A414" s="215"/>
    </row>
    <row r="415" spans="1:1" ht="12.75">
      <c r="A415" s="215"/>
    </row>
    <row r="416" spans="1:1" ht="12.75">
      <c r="A416" s="215"/>
    </row>
    <row r="417" spans="1:1" ht="12.75">
      <c r="A417" s="215"/>
    </row>
    <row r="418" spans="1:1" ht="12.75">
      <c r="A418" s="215"/>
    </row>
    <row r="419" spans="1:1" ht="12.75">
      <c r="A419" s="215"/>
    </row>
    <row r="420" spans="1:1" ht="12.75">
      <c r="A420" s="215"/>
    </row>
    <row r="421" spans="1:1" ht="12.75">
      <c r="A421" s="215"/>
    </row>
    <row r="422" spans="1:1" ht="12.75">
      <c r="A422" s="215"/>
    </row>
    <row r="423" spans="1:1" ht="12.75">
      <c r="A423" s="215"/>
    </row>
    <row r="424" spans="1:1" ht="12.75">
      <c r="A424" s="215"/>
    </row>
    <row r="425" spans="1:1" ht="12.75">
      <c r="A425" s="215"/>
    </row>
    <row r="426" spans="1:1" ht="12.75">
      <c r="A426" s="215"/>
    </row>
    <row r="427" spans="1:1" ht="12.75">
      <c r="A427" s="215"/>
    </row>
    <row r="428" spans="1:1" ht="12.75">
      <c r="A428" s="215"/>
    </row>
    <row r="429" spans="1:1" ht="12.75">
      <c r="A429" s="215"/>
    </row>
    <row r="430" spans="1:1" ht="12.75">
      <c r="A430" s="215"/>
    </row>
    <row r="431" spans="1:1" ht="12.75">
      <c r="A431" s="215"/>
    </row>
    <row r="432" spans="1:1" ht="12.75">
      <c r="A432" s="215"/>
    </row>
    <row r="433" spans="1:1" ht="12.75">
      <c r="A433" s="215"/>
    </row>
    <row r="434" spans="1:1" ht="12.75">
      <c r="A434" s="215"/>
    </row>
    <row r="435" spans="1:1" ht="12.75">
      <c r="A435" s="215"/>
    </row>
    <row r="436" spans="1:1" ht="12.75">
      <c r="A436" s="215"/>
    </row>
    <row r="437" spans="1:1" ht="12.75">
      <c r="A437" s="215"/>
    </row>
    <row r="438" spans="1:1" ht="12.75">
      <c r="A438" s="215"/>
    </row>
    <row r="439" spans="1:1" ht="12.75">
      <c r="A439" s="215"/>
    </row>
    <row r="440" spans="1:1" ht="12.75">
      <c r="A440" s="215"/>
    </row>
    <row r="441" spans="1:1" ht="12.75">
      <c r="A441" s="215"/>
    </row>
    <row r="442" spans="1:1" ht="12.75">
      <c r="A442" s="215"/>
    </row>
    <row r="443" spans="1:1" ht="12.75">
      <c r="A443" s="215"/>
    </row>
    <row r="444" spans="1:1" ht="12.75">
      <c r="A444" s="215"/>
    </row>
    <row r="445" spans="1:1" ht="12.75">
      <c r="A445" s="215"/>
    </row>
    <row r="446" spans="1:1" ht="12.75">
      <c r="A446" s="215"/>
    </row>
    <row r="447" spans="1:1" ht="12.75">
      <c r="A447" s="215"/>
    </row>
    <row r="448" spans="1:1" ht="12.75">
      <c r="A448" s="215"/>
    </row>
    <row r="449" spans="1:1" ht="12.75">
      <c r="A449" s="215"/>
    </row>
    <row r="450" spans="1:1" ht="12.75">
      <c r="A450" s="215"/>
    </row>
    <row r="451" spans="1:1" ht="12.75">
      <c r="A451" s="215"/>
    </row>
    <row r="452" spans="1:1" ht="12.75">
      <c r="A452" s="215"/>
    </row>
    <row r="453" spans="1:1" ht="12.75">
      <c r="A453" s="215"/>
    </row>
    <row r="454" spans="1:1" ht="12.75">
      <c r="A454" s="215"/>
    </row>
    <row r="455" spans="1:1" ht="12.75">
      <c r="A455" s="215"/>
    </row>
    <row r="456" spans="1:1" ht="12.75">
      <c r="A456" s="215"/>
    </row>
    <row r="457" spans="1:1" ht="12.75">
      <c r="A457" s="215"/>
    </row>
    <row r="458" spans="1:1" ht="12.75">
      <c r="A458" s="215"/>
    </row>
    <row r="459" spans="1:1" ht="12.75">
      <c r="A459" s="215"/>
    </row>
    <row r="460" spans="1:1" ht="12.75">
      <c r="A460" s="215"/>
    </row>
    <row r="461" spans="1:1" ht="12.75">
      <c r="A461" s="215"/>
    </row>
    <row r="462" spans="1:1" ht="12.75">
      <c r="A462" s="215"/>
    </row>
    <row r="463" spans="1:1" ht="12.75">
      <c r="A463" s="215"/>
    </row>
    <row r="464" spans="1:1" ht="12.75">
      <c r="A464" s="215"/>
    </row>
    <row r="465" spans="1:1" ht="12.75">
      <c r="A465" s="215"/>
    </row>
    <row r="466" spans="1:1" ht="12.75">
      <c r="A466" s="215"/>
    </row>
    <row r="467" spans="1:1" ht="12.75">
      <c r="A467" s="215"/>
    </row>
    <row r="468" spans="1:1" ht="12.75">
      <c r="A468" s="215"/>
    </row>
    <row r="469" spans="1:1" ht="12.75">
      <c r="A469" s="215"/>
    </row>
    <row r="470" spans="1:1" ht="12.75">
      <c r="A470" s="215"/>
    </row>
    <row r="471" spans="1:1" ht="12.75">
      <c r="A471" s="215"/>
    </row>
    <row r="472" spans="1:1" ht="12.75">
      <c r="A472" s="215"/>
    </row>
    <row r="473" spans="1:1" ht="12.75">
      <c r="A473" s="215"/>
    </row>
    <row r="474" spans="1:1" ht="12.75">
      <c r="A474" s="215"/>
    </row>
    <row r="475" spans="1:1" ht="12.75">
      <c r="A475" s="215"/>
    </row>
    <row r="476" spans="1:1" ht="12.75">
      <c r="A476" s="215"/>
    </row>
    <row r="477" spans="1:1" ht="12.75">
      <c r="A477" s="215"/>
    </row>
    <row r="478" spans="1:1" ht="12.75">
      <c r="A478" s="215"/>
    </row>
    <row r="479" spans="1:1" ht="12.75">
      <c r="A479" s="215"/>
    </row>
    <row r="480" spans="1:1" ht="12.75">
      <c r="A480" s="215"/>
    </row>
    <row r="481" spans="1:1" ht="12.75">
      <c r="A481" s="215"/>
    </row>
    <row r="482" spans="1:1" ht="12.75">
      <c r="A482" s="215"/>
    </row>
    <row r="483" spans="1:1" ht="12.75">
      <c r="A483" s="215"/>
    </row>
    <row r="484" spans="1:1" ht="12.75">
      <c r="A484" s="215"/>
    </row>
    <row r="485" spans="1:1" ht="12.75">
      <c r="A485" s="215"/>
    </row>
    <row r="486" spans="1:1" ht="12.75">
      <c r="A486" s="215"/>
    </row>
    <row r="487" spans="1:1" ht="12.75">
      <c r="A487" s="215"/>
    </row>
    <row r="488" spans="1:1" ht="12.75">
      <c r="A488" s="215"/>
    </row>
    <row r="489" spans="1:1" ht="12.75">
      <c r="A489" s="215"/>
    </row>
    <row r="490" spans="1:1" ht="12.75">
      <c r="A490" s="215"/>
    </row>
    <row r="491" spans="1:1" ht="12.75">
      <c r="A491" s="215"/>
    </row>
    <row r="492" spans="1:1" ht="12.75">
      <c r="A492" s="215"/>
    </row>
    <row r="493" spans="1:1" ht="12.75">
      <c r="A493" s="215"/>
    </row>
    <row r="494" spans="1:1" ht="12.75">
      <c r="A494" s="215"/>
    </row>
    <row r="495" spans="1:1" ht="12.75">
      <c r="A495" s="215"/>
    </row>
    <row r="496" spans="1:1" ht="12.75">
      <c r="A496" s="215"/>
    </row>
    <row r="497" spans="1:1" ht="12.75">
      <c r="A497" s="215"/>
    </row>
    <row r="498" spans="1:1" ht="12.75">
      <c r="A498" s="215"/>
    </row>
    <row r="499" spans="1:1" ht="12.75">
      <c r="A499" s="215"/>
    </row>
    <row r="500" spans="1:1" ht="12.75">
      <c r="A500" s="215"/>
    </row>
    <row r="501" spans="1:1" ht="12.75">
      <c r="A501" s="215"/>
    </row>
    <row r="502" spans="1:1" ht="12.75">
      <c r="A502" s="215"/>
    </row>
    <row r="503" spans="1:1" ht="12.75">
      <c r="A503" s="215"/>
    </row>
    <row r="504" spans="1:1" ht="12.75">
      <c r="A504" s="215"/>
    </row>
    <row r="505" spans="1:1" ht="12.75">
      <c r="A505" s="215"/>
    </row>
    <row r="506" spans="1:1" ht="12.75">
      <c r="A506" s="215"/>
    </row>
    <row r="507" spans="1:1" ht="12.75">
      <c r="A507" s="215"/>
    </row>
    <row r="508" spans="1:1" ht="12.75">
      <c r="A508" s="215"/>
    </row>
    <row r="509" spans="1:1" ht="12.75">
      <c r="A509" s="215"/>
    </row>
    <row r="510" spans="1:1" ht="12.75">
      <c r="A510" s="215"/>
    </row>
    <row r="511" spans="1:1" ht="12.75">
      <c r="A511" s="215"/>
    </row>
    <row r="512" spans="1:1" ht="12.75">
      <c r="A512" s="215"/>
    </row>
    <row r="513" spans="1:1" ht="12.75">
      <c r="A513" s="215"/>
    </row>
    <row r="514" spans="1:1" ht="12.75">
      <c r="A514" s="215"/>
    </row>
    <row r="515" spans="1:1" ht="12.75">
      <c r="A515" s="215"/>
    </row>
    <row r="516" spans="1:1" ht="12.75">
      <c r="A516" s="215"/>
    </row>
    <row r="517" spans="1:1" ht="12.75">
      <c r="A517" s="215"/>
    </row>
    <row r="518" spans="1:1" ht="12.75">
      <c r="A518" s="215"/>
    </row>
    <row r="519" spans="1:1" ht="12.75">
      <c r="A519" s="215"/>
    </row>
    <row r="520" spans="1:1" ht="12.75">
      <c r="A520" s="215"/>
    </row>
    <row r="521" spans="1:1" ht="12.75">
      <c r="A521" s="215"/>
    </row>
    <row r="522" spans="1:1" ht="12.75">
      <c r="A522" s="215"/>
    </row>
    <row r="523" spans="1:1" ht="12.75">
      <c r="A523" s="215"/>
    </row>
    <row r="524" spans="1:1" ht="12.75">
      <c r="A524" s="215"/>
    </row>
    <row r="525" spans="1:1" ht="12.75">
      <c r="A525" s="215"/>
    </row>
    <row r="526" spans="1:1" ht="12.75">
      <c r="A526" s="215"/>
    </row>
    <row r="527" spans="1:1" ht="12.75">
      <c r="A527" s="215"/>
    </row>
    <row r="528" spans="1:1" ht="12.75">
      <c r="A528" s="215"/>
    </row>
    <row r="529" spans="1:1" ht="12.75">
      <c r="A529" s="215"/>
    </row>
    <row r="530" spans="1:1" ht="12.75">
      <c r="A530" s="215"/>
    </row>
    <row r="531" spans="1:1" ht="12.75">
      <c r="A531" s="215"/>
    </row>
    <row r="532" spans="1:1" ht="12.75">
      <c r="A532" s="215"/>
    </row>
    <row r="533" spans="1:1" ht="12.75">
      <c r="A533" s="215"/>
    </row>
    <row r="534" spans="1:1" ht="12.75">
      <c r="A534" s="215"/>
    </row>
    <row r="535" spans="1:1" ht="12.75">
      <c r="A535" s="215"/>
    </row>
    <row r="536" spans="1:1" ht="12.75">
      <c r="A536" s="215"/>
    </row>
    <row r="537" spans="1:1" ht="12.75">
      <c r="A537" s="215"/>
    </row>
    <row r="538" spans="1:1" ht="12.75">
      <c r="A538" s="215"/>
    </row>
    <row r="539" spans="1:1" ht="12.75">
      <c r="A539" s="215"/>
    </row>
    <row r="540" spans="1:1" ht="12.75">
      <c r="A540" s="215"/>
    </row>
    <row r="541" spans="1:1" ht="12.75">
      <c r="A541" s="215"/>
    </row>
    <row r="542" spans="1:1" ht="12.75">
      <c r="A542" s="215"/>
    </row>
    <row r="543" spans="1:1" ht="12.75">
      <c r="A543" s="215"/>
    </row>
    <row r="544" spans="1:1" ht="12.75">
      <c r="A544" s="215"/>
    </row>
    <row r="545" spans="1:1" ht="12.75">
      <c r="A545" s="215"/>
    </row>
    <row r="546" spans="1:1" ht="12.75">
      <c r="A546" s="215"/>
    </row>
    <row r="547" spans="1:1" ht="12.75">
      <c r="A547" s="215"/>
    </row>
    <row r="548" spans="1:1" ht="12.75">
      <c r="A548" s="215"/>
    </row>
    <row r="549" spans="1:1" ht="12.75">
      <c r="A549" s="215"/>
    </row>
    <row r="550" spans="1:1" ht="12.75">
      <c r="A550" s="215"/>
    </row>
    <row r="551" spans="1:1" ht="12.75">
      <c r="A551" s="215"/>
    </row>
    <row r="552" spans="1:1" ht="12.75">
      <c r="A552" s="215"/>
    </row>
    <row r="553" spans="1:1" ht="12.75">
      <c r="A553" s="215"/>
    </row>
    <row r="554" spans="1:1" ht="12.75">
      <c r="A554" s="215"/>
    </row>
    <row r="555" spans="1:1" ht="12.75">
      <c r="A555" s="215"/>
    </row>
    <row r="556" spans="1:1" ht="12.75">
      <c r="A556" s="215"/>
    </row>
    <row r="557" spans="1:1" ht="12.75">
      <c r="A557" s="215"/>
    </row>
    <row r="558" spans="1:1" ht="12.75">
      <c r="A558" s="215"/>
    </row>
    <row r="559" spans="1:1" ht="12.75">
      <c r="A559" s="215"/>
    </row>
    <row r="560" spans="1:1" ht="12.75">
      <c r="A560" s="215"/>
    </row>
    <row r="561" spans="1:1" ht="12.75">
      <c r="A561" s="215"/>
    </row>
    <row r="562" spans="1:1" ht="12.75">
      <c r="A562" s="215"/>
    </row>
    <row r="563" spans="1:1" ht="12.75">
      <c r="A563" s="215"/>
    </row>
    <row r="564" spans="1:1" ht="12.75">
      <c r="A564" s="215"/>
    </row>
    <row r="565" spans="1:1" ht="12.75">
      <c r="A565" s="215"/>
    </row>
    <row r="566" spans="1:1" ht="12.75">
      <c r="A566" s="215"/>
    </row>
    <row r="567" spans="1:1" ht="12.75">
      <c r="A567" s="215"/>
    </row>
    <row r="568" spans="1:1" ht="12.75">
      <c r="A568" s="215"/>
    </row>
    <row r="569" spans="1:1" ht="12.75">
      <c r="A569" s="215"/>
    </row>
    <row r="570" spans="1:1" ht="12.75">
      <c r="A570" s="215"/>
    </row>
    <row r="571" spans="1:1" ht="12.75">
      <c r="A571" s="215"/>
    </row>
    <row r="572" spans="1:1" ht="12.75">
      <c r="A572" s="215"/>
    </row>
    <row r="573" spans="1:1" ht="12.75">
      <c r="A573" s="215"/>
    </row>
    <row r="574" spans="1:1" ht="12.75">
      <c r="A574" s="215"/>
    </row>
    <row r="575" spans="1:1" ht="12.75">
      <c r="A575" s="215"/>
    </row>
    <row r="576" spans="1:1" ht="12.75">
      <c r="A576" s="215"/>
    </row>
    <row r="577" spans="1:1" ht="12.75">
      <c r="A577" s="215"/>
    </row>
    <row r="578" spans="1:1" ht="12.75">
      <c r="A578" s="215"/>
    </row>
    <row r="579" spans="1:1" ht="12.75">
      <c r="A579" s="215"/>
    </row>
    <row r="580" spans="1:1" ht="12.75">
      <c r="A580" s="215"/>
    </row>
    <row r="581" spans="1:1" ht="12.75">
      <c r="A581" s="215"/>
    </row>
    <row r="582" spans="1:1" ht="12.75">
      <c r="A582" s="215"/>
    </row>
    <row r="583" spans="1:1" ht="12.75">
      <c r="A583" s="215"/>
    </row>
    <row r="584" spans="1:1" ht="12.75">
      <c r="A584" s="215"/>
    </row>
    <row r="585" spans="1:1" ht="12.75">
      <c r="A585" s="215"/>
    </row>
    <row r="586" spans="1:1" ht="12.75">
      <c r="A586" s="215"/>
    </row>
    <row r="587" spans="1:1" ht="12.75">
      <c r="A587" s="215"/>
    </row>
    <row r="588" spans="1:1" ht="12.75">
      <c r="A588" s="215"/>
    </row>
    <row r="589" spans="1:1" ht="12.75">
      <c r="A589" s="215"/>
    </row>
    <row r="590" spans="1:1" ht="12.75">
      <c r="A590" s="215"/>
    </row>
    <row r="591" spans="1:1" ht="12.75">
      <c r="A591" s="215"/>
    </row>
    <row r="592" spans="1:1" ht="12.75">
      <c r="A592" s="215"/>
    </row>
    <row r="593" spans="1:1" ht="12.75">
      <c r="A593" s="215"/>
    </row>
    <row r="594" spans="1:1" ht="12.75">
      <c r="A594" s="215"/>
    </row>
    <row r="595" spans="1:1" ht="12.75">
      <c r="A595" s="215"/>
    </row>
    <row r="596" spans="1:1" ht="12.75">
      <c r="A596" s="215"/>
    </row>
    <row r="597" spans="1:1" ht="12.75">
      <c r="A597" s="215"/>
    </row>
    <row r="598" spans="1:1" ht="12.75">
      <c r="A598" s="215"/>
    </row>
    <row r="599" spans="1:1" ht="12.75">
      <c r="A599" s="215"/>
    </row>
    <row r="600" spans="1:1" ht="12.75">
      <c r="A600" s="215"/>
    </row>
    <row r="601" spans="1:1" ht="12.75">
      <c r="A601" s="215"/>
    </row>
    <row r="602" spans="1:1" ht="12.75">
      <c r="A602" s="215"/>
    </row>
    <row r="603" spans="1:1" ht="12.75">
      <c r="A603" s="215"/>
    </row>
    <row r="604" spans="1:1" ht="12.75">
      <c r="A604" s="215"/>
    </row>
    <row r="605" spans="1:1" ht="12.75">
      <c r="A605" s="215"/>
    </row>
    <row r="606" spans="1:1" ht="12.75">
      <c r="A606" s="215"/>
    </row>
    <row r="607" spans="1:1" ht="12.75">
      <c r="A607" s="215"/>
    </row>
    <row r="608" spans="1:1" ht="12.75">
      <c r="A608" s="215"/>
    </row>
    <row r="609" spans="1:1" ht="12.75">
      <c r="A609" s="215"/>
    </row>
    <row r="610" spans="1:1" ht="12.75">
      <c r="A610" s="215"/>
    </row>
    <row r="611" spans="1:1" ht="12.75">
      <c r="A611" s="215"/>
    </row>
    <row r="612" spans="1:1" ht="12.75">
      <c r="A612" s="215"/>
    </row>
    <row r="613" spans="1:1" ht="12.75">
      <c r="A613" s="215"/>
    </row>
    <row r="614" spans="1:1" ht="12.75">
      <c r="A614" s="215"/>
    </row>
    <row r="615" spans="1:1" ht="12.75">
      <c r="A615" s="215"/>
    </row>
    <row r="616" spans="1:1" ht="12.75">
      <c r="A616" s="215"/>
    </row>
    <row r="617" spans="1:1" ht="12.75">
      <c r="A617" s="215"/>
    </row>
    <row r="618" spans="1:1" ht="12.75">
      <c r="A618" s="215"/>
    </row>
    <row r="619" spans="1:1" ht="12.75">
      <c r="A619" s="215"/>
    </row>
    <row r="620" spans="1:1" ht="12.75">
      <c r="A620" s="215"/>
    </row>
    <row r="621" spans="1:1" ht="12.75">
      <c r="A621" s="215"/>
    </row>
    <row r="622" spans="1:1" ht="12.75">
      <c r="A622" s="215"/>
    </row>
    <row r="623" spans="1:1" ht="12.75">
      <c r="A623" s="215"/>
    </row>
    <row r="624" spans="1:1" ht="12.75">
      <c r="A624" s="215"/>
    </row>
    <row r="625" spans="1:1" ht="12.75">
      <c r="A625" s="215"/>
    </row>
    <row r="626" spans="1:1" ht="12.75">
      <c r="A626" s="215"/>
    </row>
    <row r="627" spans="1:1" ht="12.75">
      <c r="A627" s="215"/>
    </row>
    <row r="628" spans="1:1" ht="12.75">
      <c r="A628" s="215"/>
    </row>
    <row r="629" spans="1:1" ht="12.75">
      <c r="A629" s="215"/>
    </row>
    <row r="630" spans="1:1" ht="12.75">
      <c r="A630" s="215"/>
    </row>
    <row r="631" spans="1:1" ht="12.75">
      <c r="A631" s="215"/>
    </row>
    <row r="632" spans="1:1" ht="12.75">
      <c r="A632" s="215"/>
    </row>
    <row r="633" spans="1:1" ht="12.75">
      <c r="A633" s="215"/>
    </row>
    <row r="634" spans="1:1" ht="12.75">
      <c r="A634" s="215"/>
    </row>
    <row r="635" spans="1:1" ht="12.75">
      <c r="A635" s="215"/>
    </row>
    <row r="636" spans="1:1" ht="12.75">
      <c r="A636" s="215"/>
    </row>
    <row r="637" spans="1:1" ht="12.75">
      <c r="A637" s="215"/>
    </row>
    <row r="638" spans="1:1" ht="12.75">
      <c r="A638" s="215"/>
    </row>
    <row r="639" spans="1:1" ht="12.75">
      <c r="A639" s="215"/>
    </row>
    <row r="640" spans="1:1" ht="12.75">
      <c r="A640" s="215"/>
    </row>
    <row r="641" spans="1:1" ht="12.75">
      <c r="A641" s="215"/>
    </row>
    <row r="642" spans="1:1" ht="12.75">
      <c r="A642" s="215"/>
    </row>
    <row r="643" spans="1:1" ht="12.75">
      <c r="A643" s="215"/>
    </row>
    <row r="644" spans="1:1" ht="12.75">
      <c r="A644" s="215"/>
    </row>
    <row r="645" spans="1:1" ht="12.75">
      <c r="A645" s="215"/>
    </row>
    <row r="646" spans="1:1" ht="12.75">
      <c r="A646" s="215"/>
    </row>
    <row r="647" spans="1:1" ht="12.75">
      <c r="A647" s="215"/>
    </row>
    <row r="648" spans="1:1" ht="12.75">
      <c r="A648" s="215"/>
    </row>
    <row r="649" spans="1:1" ht="12.75">
      <c r="A649" s="215"/>
    </row>
    <row r="650" spans="1:1" ht="12.75">
      <c r="A650" s="215"/>
    </row>
    <row r="651" spans="1:1" ht="12.75">
      <c r="A651" s="215"/>
    </row>
    <row r="652" spans="1:1" ht="12.75">
      <c r="A652" s="215"/>
    </row>
    <row r="653" spans="1:1" ht="12.75">
      <c r="A653" s="215"/>
    </row>
    <row r="654" spans="1:1" ht="12.75">
      <c r="A654" s="215"/>
    </row>
    <row r="655" spans="1:1" ht="12.75">
      <c r="A655" s="215"/>
    </row>
    <row r="656" spans="1:1" ht="12.75">
      <c r="A656" s="215"/>
    </row>
    <row r="657" spans="1:1" ht="12.75">
      <c r="A657" s="215"/>
    </row>
    <row r="658" spans="1:1" ht="12.75">
      <c r="A658" s="215"/>
    </row>
    <row r="659" spans="1:1" ht="12.75">
      <c r="A659" s="215"/>
    </row>
    <row r="660" spans="1:1" ht="12.75">
      <c r="A660" s="215"/>
    </row>
    <row r="661" spans="1:1" ht="12.75">
      <c r="A661" s="215"/>
    </row>
    <row r="662" spans="1:1" ht="12.75">
      <c r="A662" s="215"/>
    </row>
    <row r="663" spans="1:1" ht="12.75">
      <c r="A663" s="215"/>
    </row>
    <row r="664" spans="1:1" ht="12.75">
      <c r="A664" s="215"/>
    </row>
    <row r="665" spans="1:1" ht="12.75">
      <c r="A665" s="215"/>
    </row>
    <row r="666" spans="1:1" ht="12.75">
      <c r="A666" s="215"/>
    </row>
    <row r="667" spans="1:1" ht="12.75">
      <c r="A667" s="215"/>
    </row>
    <row r="668" spans="1:1" ht="12.75">
      <c r="A668" s="215"/>
    </row>
    <row r="669" spans="1:1" ht="12.75">
      <c r="A669" s="215"/>
    </row>
    <row r="670" spans="1:1" ht="12.75">
      <c r="A670" s="215"/>
    </row>
    <row r="671" spans="1:1" ht="12.75">
      <c r="A671" s="215"/>
    </row>
    <row r="672" spans="1:1" ht="12.75">
      <c r="A672" s="215"/>
    </row>
    <row r="673" spans="1:1" ht="12.75">
      <c r="A673" s="215"/>
    </row>
    <row r="674" spans="1:1" ht="12.75">
      <c r="A674" s="215"/>
    </row>
    <row r="675" spans="1:1" ht="12.75">
      <c r="A675" s="215"/>
    </row>
    <row r="676" spans="1:1" ht="12.75">
      <c r="A676" s="215"/>
    </row>
    <row r="677" spans="1:1" ht="12.75">
      <c r="A677" s="215"/>
    </row>
    <row r="678" spans="1:1" ht="12.75">
      <c r="A678" s="215"/>
    </row>
    <row r="679" spans="1:1" ht="12.75">
      <c r="A679" s="215"/>
    </row>
    <row r="680" spans="1:1" ht="12.75">
      <c r="A680" s="215"/>
    </row>
    <row r="681" spans="1:1" ht="12.75">
      <c r="A681" s="215"/>
    </row>
    <row r="682" spans="1:1" ht="12.75">
      <c r="A682" s="215"/>
    </row>
    <row r="683" spans="1:1" ht="12.75">
      <c r="A683" s="215"/>
    </row>
    <row r="684" spans="1:1" ht="12.75">
      <c r="A684" s="215"/>
    </row>
    <row r="685" spans="1:1" ht="12.75">
      <c r="A685" s="215"/>
    </row>
    <row r="686" spans="1:1" ht="12.75">
      <c r="A686" s="215"/>
    </row>
    <row r="687" spans="1:1" ht="12.75">
      <c r="A687" s="215"/>
    </row>
    <row r="688" spans="1:1" ht="12.75">
      <c r="A688" s="215"/>
    </row>
    <row r="689" spans="1:1" ht="12.75">
      <c r="A689" s="215"/>
    </row>
    <row r="690" spans="1:1" ht="12.75">
      <c r="A690" s="215"/>
    </row>
    <row r="691" spans="1:1" ht="12.75">
      <c r="A691" s="215"/>
    </row>
    <row r="692" spans="1:1" ht="12.75">
      <c r="A692" s="215"/>
    </row>
    <row r="693" spans="1:1" ht="12.75">
      <c r="A693" s="215"/>
    </row>
    <row r="694" spans="1:1" ht="12.75">
      <c r="A694" s="215"/>
    </row>
    <row r="695" spans="1:1" ht="12.75">
      <c r="A695" s="215"/>
    </row>
    <row r="696" spans="1:1" ht="12.75">
      <c r="A696" s="215"/>
    </row>
    <row r="697" spans="1:1" ht="12.75">
      <c r="A697" s="215"/>
    </row>
    <row r="698" spans="1:1" ht="12.75">
      <c r="A698" s="215"/>
    </row>
    <row r="699" spans="1:1" ht="12.75">
      <c r="A699" s="215"/>
    </row>
    <row r="700" spans="1:1" ht="12.75">
      <c r="A700" s="215"/>
    </row>
    <row r="701" spans="1:1" ht="12.75">
      <c r="A701" s="215"/>
    </row>
    <row r="702" spans="1:1" ht="12.75">
      <c r="A702" s="215"/>
    </row>
    <row r="703" spans="1:1" ht="12.75">
      <c r="A703" s="215"/>
    </row>
    <row r="704" spans="1:1" ht="12.75">
      <c r="A704" s="215"/>
    </row>
    <row r="705" spans="1:1" ht="12.75">
      <c r="A705" s="215"/>
    </row>
    <row r="706" spans="1:1" ht="12.75">
      <c r="A706" s="215"/>
    </row>
    <row r="707" spans="1:1" ht="12.75">
      <c r="A707" s="215"/>
    </row>
    <row r="708" spans="1:1" ht="12.75">
      <c r="A708" s="215"/>
    </row>
    <row r="709" spans="1:1" ht="12.75">
      <c r="A709" s="215"/>
    </row>
    <row r="710" spans="1:1" ht="12.75">
      <c r="A710" s="215"/>
    </row>
    <row r="711" spans="1:1" ht="12.75">
      <c r="A711" s="215"/>
    </row>
    <row r="712" spans="1:1" ht="12.75">
      <c r="A712" s="215"/>
    </row>
    <row r="713" spans="1:1" ht="12.75">
      <c r="A713" s="215"/>
    </row>
    <row r="714" spans="1:1" ht="12.75">
      <c r="A714" s="215"/>
    </row>
    <row r="715" spans="1:1" ht="12.75">
      <c r="A715" s="215"/>
    </row>
    <row r="716" spans="1:1" ht="12.75">
      <c r="A716" s="215"/>
    </row>
    <row r="717" spans="1:1" ht="12.75">
      <c r="A717" s="215"/>
    </row>
    <row r="718" spans="1:1" ht="12.75">
      <c r="A718" s="215"/>
    </row>
    <row r="719" spans="1:1" ht="12.75">
      <c r="A719" s="215"/>
    </row>
    <row r="720" spans="1:1" ht="12.75">
      <c r="A720" s="215"/>
    </row>
    <row r="721" spans="1:1" ht="12.75">
      <c r="A721" s="215"/>
    </row>
    <row r="722" spans="1:1" ht="12.75">
      <c r="A722" s="215"/>
    </row>
    <row r="723" spans="1:1" ht="12.75">
      <c r="A723" s="215"/>
    </row>
    <row r="724" spans="1:1" ht="12.75">
      <c r="A724" s="215"/>
    </row>
    <row r="725" spans="1:1" ht="12.75">
      <c r="A725" s="215"/>
    </row>
    <row r="726" spans="1:1" ht="12.75">
      <c r="A726" s="215"/>
    </row>
    <row r="727" spans="1:1" ht="12.75">
      <c r="A727" s="215"/>
    </row>
    <row r="728" spans="1:1" ht="12.75">
      <c r="A728" s="215"/>
    </row>
    <row r="729" spans="1:1" ht="12.75">
      <c r="A729" s="215"/>
    </row>
    <row r="730" spans="1:1" ht="12.75">
      <c r="A730" s="215"/>
    </row>
    <row r="731" spans="1:1" ht="12.75">
      <c r="A731" s="215"/>
    </row>
    <row r="732" spans="1:1" ht="12.75">
      <c r="A732" s="215"/>
    </row>
    <row r="733" spans="1:1" ht="12.75">
      <c r="A733" s="215"/>
    </row>
    <row r="734" spans="1:1" ht="12.75">
      <c r="A734" s="215"/>
    </row>
    <row r="735" spans="1:1" ht="12.75">
      <c r="A735" s="215"/>
    </row>
    <row r="736" spans="1:1" ht="12.75">
      <c r="A736" s="215"/>
    </row>
    <row r="737" spans="1:1" ht="12.75">
      <c r="A737" s="215"/>
    </row>
    <row r="738" spans="1:1" ht="12.75">
      <c r="A738" s="215"/>
    </row>
    <row r="739" spans="1:1" ht="12.75">
      <c r="A739" s="215"/>
    </row>
    <row r="740" spans="1:1" ht="12.75">
      <c r="A740" s="215"/>
    </row>
    <row r="741" spans="1:1" ht="12.75">
      <c r="A741" s="215"/>
    </row>
    <row r="742" spans="1:1" ht="12.75">
      <c r="A742" s="215"/>
    </row>
    <row r="743" spans="1:1" ht="12.75">
      <c r="A743" s="215"/>
    </row>
    <row r="744" spans="1:1" ht="12.75">
      <c r="A744" s="215"/>
    </row>
    <row r="745" spans="1:1" ht="12.75">
      <c r="A745" s="215"/>
    </row>
    <row r="746" spans="1:1" ht="12.75">
      <c r="A746" s="215"/>
    </row>
    <row r="747" spans="1:1" ht="12.75">
      <c r="A747" s="215"/>
    </row>
    <row r="748" spans="1:1" ht="12.75">
      <c r="A748" s="215"/>
    </row>
    <row r="749" spans="1:1" ht="12.75">
      <c r="A749" s="215"/>
    </row>
    <row r="750" spans="1:1" ht="12.75">
      <c r="A750" s="215"/>
    </row>
    <row r="751" spans="1:1" ht="12.75">
      <c r="A751" s="215"/>
    </row>
    <row r="752" spans="1:1" ht="12.75">
      <c r="A752" s="215"/>
    </row>
    <row r="753" spans="1:1" ht="12.75">
      <c r="A753" s="215"/>
    </row>
    <row r="754" spans="1:1" ht="12.75">
      <c r="A754" s="215"/>
    </row>
    <row r="755" spans="1:1" ht="12.75">
      <c r="A755" s="215"/>
    </row>
    <row r="756" spans="1:1" ht="12.75">
      <c r="A756" s="215"/>
    </row>
    <row r="757" spans="1:1" ht="12.75">
      <c r="A757" s="215"/>
    </row>
    <row r="758" spans="1:1" ht="12.75">
      <c r="A758" s="215"/>
    </row>
    <row r="759" spans="1:1" ht="12.75">
      <c r="A759" s="215"/>
    </row>
    <row r="760" spans="1:1" ht="12.75">
      <c r="A760" s="215"/>
    </row>
    <row r="761" spans="1:1" ht="12.75">
      <c r="A761" s="215"/>
    </row>
    <row r="762" spans="1:1" ht="12.75">
      <c r="A762" s="215"/>
    </row>
    <row r="763" spans="1:1" ht="12.75">
      <c r="A763" s="215"/>
    </row>
    <row r="764" spans="1:1" ht="12.75">
      <c r="A764" s="215"/>
    </row>
    <row r="765" spans="1:1" ht="12.75">
      <c r="A765" s="215"/>
    </row>
    <row r="766" spans="1:1" ht="12.75">
      <c r="A766" s="215"/>
    </row>
    <row r="767" spans="1:1" ht="12.75">
      <c r="A767" s="215"/>
    </row>
    <row r="768" spans="1:1" ht="12.75">
      <c r="A768" s="215"/>
    </row>
    <row r="769" spans="1:1" ht="12.75">
      <c r="A769" s="215"/>
    </row>
    <row r="770" spans="1:1" ht="12.75">
      <c r="A770" s="215"/>
    </row>
    <row r="771" spans="1:1" ht="12.75">
      <c r="A771" s="215"/>
    </row>
    <row r="772" spans="1:1" ht="12.75">
      <c r="A772" s="215"/>
    </row>
    <row r="773" spans="1:1" ht="12.75">
      <c r="A773" s="215"/>
    </row>
    <row r="774" spans="1:1" ht="12.75">
      <c r="A774" s="215"/>
    </row>
    <row r="775" spans="1:1" ht="12.75">
      <c r="A775" s="215"/>
    </row>
    <row r="776" spans="1:1" ht="12.75">
      <c r="A776" s="215"/>
    </row>
    <row r="777" spans="1:1" ht="12.75">
      <c r="A777" s="215"/>
    </row>
    <row r="778" spans="1:1" ht="12.75">
      <c r="A778" s="215"/>
    </row>
    <row r="779" spans="1:1" ht="12.75">
      <c r="A779" s="215"/>
    </row>
    <row r="780" spans="1:1" ht="12.75">
      <c r="A780" s="215"/>
    </row>
    <row r="781" spans="1:1" ht="12.75">
      <c r="A781" s="215"/>
    </row>
    <row r="782" spans="1:1" ht="12.75">
      <c r="A782" s="215"/>
    </row>
    <row r="783" spans="1:1" ht="12.75">
      <c r="A783" s="215"/>
    </row>
    <row r="784" spans="1:1" ht="12.75">
      <c r="A784" s="215"/>
    </row>
    <row r="785" spans="1:1" ht="12.75">
      <c r="A785" s="215"/>
    </row>
    <row r="786" spans="1:1" ht="12.75">
      <c r="A786" s="215"/>
    </row>
    <row r="787" spans="1:1" ht="12.75">
      <c r="A787" s="215"/>
    </row>
    <row r="788" spans="1:1" ht="12.75">
      <c r="A788" s="215"/>
    </row>
    <row r="789" spans="1:1" ht="12.75">
      <c r="A789" s="215"/>
    </row>
    <row r="790" spans="1:1" ht="12.75">
      <c r="A790" s="215"/>
    </row>
    <row r="791" spans="1:1" ht="12.75">
      <c r="A791" s="215"/>
    </row>
    <row r="792" spans="1:1" ht="12.75">
      <c r="A792" s="215"/>
    </row>
    <row r="793" spans="1:1" ht="12.75">
      <c r="A793" s="215"/>
    </row>
    <row r="794" spans="1:1" ht="12.75">
      <c r="A794" s="215"/>
    </row>
    <row r="795" spans="1:1" ht="12.75">
      <c r="A795" s="215"/>
    </row>
    <row r="796" spans="1:1" ht="12.75">
      <c r="A796" s="215"/>
    </row>
    <row r="797" spans="1:1" ht="12.75">
      <c r="A797" s="215"/>
    </row>
    <row r="798" spans="1:1" ht="12.75">
      <c r="A798" s="215"/>
    </row>
    <row r="799" spans="1:1" ht="12.75">
      <c r="A799" s="215"/>
    </row>
    <row r="800" spans="1:1" ht="12.75">
      <c r="A800" s="215"/>
    </row>
    <row r="801" spans="1:1" ht="12.75">
      <c r="A801" s="215"/>
    </row>
    <row r="802" spans="1:1" ht="12.75">
      <c r="A802" s="215"/>
    </row>
    <row r="803" spans="1:1" ht="12.75">
      <c r="A803" s="215"/>
    </row>
    <row r="804" spans="1:1" ht="12.75">
      <c r="A804" s="215"/>
    </row>
    <row r="805" spans="1:1" ht="12.75">
      <c r="A805" s="215"/>
    </row>
    <row r="806" spans="1:1" ht="12.75">
      <c r="A806" s="215"/>
    </row>
    <row r="807" spans="1:1" ht="12.75">
      <c r="A807" s="215"/>
    </row>
    <row r="808" spans="1:1" ht="12.75">
      <c r="A808" s="215"/>
    </row>
    <row r="809" spans="1:1" ht="12.75">
      <c r="A809" s="215"/>
    </row>
    <row r="810" spans="1:1" ht="12.75">
      <c r="A810" s="215"/>
    </row>
    <row r="811" spans="1:1" ht="12.75">
      <c r="A811" s="215"/>
    </row>
    <row r="812" spans="1:1" ht="12.75">
      <c r="A812" s="215"/>
    </row>
    <row r="813" spans="1:1" ht="12.75">
      <c r="A813" s="215"/>
    </row>
    <row r="814" spans="1:1" ht="12.75">
      <c r="A814" s="215"/>
    </row>
    <row r="815" spans="1:1" ht="12.75">
      <c r="A815" s="215"/>
    </row>
    <row r="816" spans="1:1" ht="12.75">
      <c r="A816" s="215"/>
    </row>
    <row r="817" spans="1:1" ht="12.75">
      <c r="A817" s="215"/>
    </row>
    <row r="818" spans="1:1" ht="12.75">
      <c r="A818" s="215"/>
    </row>
    <row r="819" spans="1:1" ht="12.75">
      <c r="A819" s="215"/>
    </row>
    <row r="820" spans="1:1" ht="12.75">
      <c r="A820" s="215"/>
    </row>
    <row r="821" spans="1:1" ht="12.75">
      <c r="A821" s="215"/>
    </row>
    <row r="822" spans="1:1" ht="12.75">
      <c r="A822" s="215"/>
    </row>
    <row r="823" spans="1:1" ht="12.75">
      <c r="A823" s="215"/>
    </row>
    <row r="824" spans="1:1" ht="12.75">
      <c r="A824" s="215"/>
    </row>
    <row r="825" spans="1:1" ht="12.75">
      <c r="A825" s="215"/>
    </row>
    <row r="826" spans="1:1" ht="12.75">
      <c r="A826" s="215"/>
    </row>
    <row r="827" spans="1:1" ht="12.75">
      <c r="A827" s="215"/>
    </row>
    <row r="828" spans="1:1" ht="12.75">
      <c r="A828" s="215"/>
    </row>
    <row r="829" spans="1:1" ht="12.75">
      <c r="A829" s="215"/>
    </row>
    <row r="830" spans="1:1" ht="12.75">
      <c r="A830" s="215"/>
    </row>
    <row r="831" spans="1:1" ht="12.75">
      <c r="A831" s="215"/>
    </row>
    <row r="832" spans="1:1" ht="12.75">
      <c r="A832" s="215"/>
    </row>
    <row r="833" spans="1:1" ht="12.75">
      <c r="A833" s="215"/>
    </row>
    <row r="834" spans="1:1" ht="12.75">
      <c r="A834" s="215"/>
    </row>
    <row r="835" spans="1:1" ht="12.75">
      <c r="A835" s="215"/>
    </row>
    <row r="836" spans="1:1" ht="12.75">
      <c r="A836" s="215"/>
    </row>
    <row r="837" spans="1:1" ht="12.75">
      <c r="A837" s="215"/>
    </row>
    <row r="838" spans="1:1" ht="12.75">
      <c r="A838" s="215"/>
    </row>
    <row r="839" spans="1:1" ht="12.75">
      <c r="A839" s="215"/>
    </row>
    <row r="840" spans="1:1" ht="12.75">
      <c r="A840" s="215"/>
    </row>
    <row r="841" spans="1:1" ht="12.75">
      <c r="A841" s="215"/>
    </row>
    <row r="842" spans="1:1" ht="12.75">
      <c r="A842" s="215"/>
    </row>
    <row r="843" spans="1:1" ht="12.75">
      <c r="A843" s="215"/>
    </row>
    <row r="844" spans="1:1" ht="12.75">
      <c r="A844" s="215"/>
    </row>
    <row r="845" spans="1:1" ht="12.75">
      <c r="A845" s="215"/>
    </row>
    <row r="846" spans="1:1" ht="12.75">
      <c r="A846" s="215"/>
    </row>
    <row r="847" spans="1:1" ht="12.75">
      <c r="A847" s="215"/>
    </row>
    <row r="848" spans="1:1" ht="12.75">
      <c r="A848" s="215"/>
    </row>
    <row r="849" spans="1:1" ht="12.75">
      <c r="A849" s="215"/>
    </row>
    <row r="850" spans="1:1" ht="12.75">
      <c r="A850" s="215"/>
    </row>
    <row r="851" spans="1:1" ht="12.75">
      <c r="A851" s="215"/>
    </row>
    <row r="852" spans="1:1" ht="12.75">
      <c r="A852" s="215"/>
    </row>
    <row r="853" spans="1:1" ht="12.75">
      <c r="A853" s="215"/>
    </row>
    <row r="854" spans="1:1" ht="12.75">
      <c r="A854" s="215"/>
    </row>
    <row r="855" spans="1:1" ht="12.75">
      <c r="A855" s="215"/>
    </row>
    <row r="856" spans="1:1" ht="12.75">
      <c r="A856" s="215"/>
    </row>
    <row r="857" spans="1:1" ht="12.75">
      <c r="A857" s="215"/>
    </row>
    <row r="858" spans="1:1" ht="12.75">
      <c r="A858" s="215"/>
    </row>
    <row r="859" spans="1:1" ht="12.75">
      <c r="A859" s="215"/>
    </row>
    <row r="860" spans="1:1" ht="12.75">
      <c r="A860" s="215"/>
    </row>
    <row r="861" spans="1:1" ht="12.75">
      <c r="A861" s="215"/>
    </row>
    <row r="862" spans="1:1" ht="12.75">
      <c r="A862" s="215"/>
    </row>
    <row r="863" spans="1:1" ht="12.75">
      <c r="A863" s="215"/>
    </row>
    <row r="864" spans="1:1" ht="12.75">
      <c r="A864" s="215"/>
    </row>
    <row r="865" spans="1:1" ht="12.75">
      <c r="A865" s="215"/>
    </row>
    <row r="866" spans="1:1" ht="12.75">
      <c r="A866" s="215"/>
    </row>
    <row r="867" spans="1:1" ht="12.75">
      <c r="A867" s="215"/>
    </row>
    <row r="868" spans="1:1" ht="12.75">
      <c r="A868" s="215"/>
    </row>
    <row r="869" spans="1:1" ht="12.75">
      <c r="A869" s="215"/>
    </row>
    <row r="870" spans="1:1" ht="12.75">
      <c r="A870" s="215"/>
    </row>
    <row r="871" spans="1:1" ht="12.75">
      <c r="A871" s="215"/>
    </row>
    <row r="872" spans="1:1" ht="12.75">
      <c r="A872" s="215"/>
    </row>
    <row r="873" spans="1:1" ht="12.75">
      <c r="A873" s="215"/>
    </row>
    <row r="874" spans="1:1" ht="12.75">
      <c r="A874" s="215"/>
    </row>
    <row r="875" spans="1:1" ht="12.75">
      <c r="A875" s="215"/>
    </row>
    <row r="876" spans="1:1" ht="12.75">
      <c r="A876" s="215"/>
    </row>
    <row r="877" spans="1:1" ht="12.75">
      <c r="A877" s="215"/>
    </row>
    <row r="878" spans="1:1" ht="12.75">
      <c r="A878" s="215"/>
    </row>
    <row r="879" spans="1:1" ht="12.75">
      <c r="A879" s="215"/>
    </row>
    <row r="880" spans="1:1" ht="12.75">
      <c r="A880" s="215"/>
    </row>
    <row r="881" spans="1:1" ht="12.75">
      <c r="A881" s="215"/>
    </row>
    <row r="882" spans="1:1" ht="12.75">
      <c r="A882" s="215"/>
    </row>
    <row r="883" spans="1:1" ht="12.75">
      <c r="A883" s="215"/>
    </row>
    <row r="884" spans="1:1" ht="12.75">
      <c r="A884" s="215"/>
    </row>
    <row r="885" spans="1:1" ht="12.75">
      <c r="A885" s="215"/>
    </row>
    <row r="886" spans="1:1" ht="12.75">
      <c r="A886" s="215"/>
    </row>
    <row r="887" spans="1:1" ht="12.75">
      <c r="A887" s="215"/>
    </row>
    <row r="888" spans="1:1" ht="12.75">
      <c r="A888" s="215"/>
    </row>
    <row r="889" spans="1:1" ht="12.75">
      <c r="A889" s="215"/>
    </row>
    <row r="890" spans="1:1" ht="12.75">
      <c r="A890" s="215"/>
    </row>
    <row r="891" spans="1:1" ht="12.75">
      <c r="A891" s="215"/>
    </row>
    <row r="892" spans="1:1" ht="12.75">
      <c r="A892" s="215"/>
    </row>
    <row r="893" spans="1:1" ht="12.75">
      <c r="A893" s="215"/>
    </row>
    <row r="894" spans="1:1" ht="12.75">
      <c r="A894" s="215"/>
    </row>
    <row r="895" spans="1:1" ht="12.75">
      <c r="A895" s="215"/>
    </row>
    <row r="896" spans="1:1" ht="12.75">
      <c r="A896" s="215"/>
    </row>
    <row r="897" spans="1:1" ht="12.75">
      <c r="A897" s="215"/>
    </row>
    <row r="898" spans="1:1" ht="12.75">
      <c r="A898" s="215"/>
    </row>
    <row r="899" spans="1:1" ht="12.75">
      <c r="A899" s="215"/>
    </row>
    <row r="900" spans="1:1" ht="12.75">
      <c r="A900" s="215"/>
    </row>
    <row r="901" spans="1:1" ht="12.75">
      <c r="A901" s="215"/>
    </row>
    <row r="902" spans="1:1" ht="12.75">
      <c r="A902" s="215"/>
    </row>
    <row r="903" spans="1:1" ht="12.75">
      <c r="A903" s="215"/>
    </row>
    <row r="904" spans="1:1" ht="12.75">
      <c r="A904" s="215"/>
    </row>
    <row r="905" spans="1:1" ht="12.75">
      <c r="A905" s="215"/>
    </row>
    <row r="906" spans="1:1" ht="12.75">
      <c r="A906" s="215"/>
    </row>
    <row r="907" spans="1:1" ht="12.75">
      <c r="A907" s="215"/>
    </row>
    <row r="908" spans="1:1" ht="12.75">
      <c r="A908" s="215"/>
    </row>
    <row r="909" spans="1:1" ht="12.75">
      <c r="A909" s="215"/>
    </row>
    <row r="910" spans="1:1" ht="12.75">
      <c r="A910" s="215"/>
    </row>
    <row r="911" spans="1:1" ht="12.75">
      <c r="A911" s="215"/>
    </row>
    <row r="912" spans="1:1" ht="12.75">
      <c r="A912" s="215"/>
    </row>
    <row r="913" spans="1:1" ht="12.75">
      <c r="A913" s="215"/>
    </row>
    <row r="914" spans="1:1" ht="12.75">
      <c r="A914" s="215"/>
    </row>
    <row r="915" spans="1:1" ht="12.75">
      <c r="A915" s="215"/>
    </row>
    <row r="916" spans="1:1" ht="12.75">
      <c r="A916" s="215"/>
    </row>
    <row r="917" spans="1:1" ht="12.75">
      <c r="A917" s="215"/>
    </row>
    <row r="918" spans="1:1" ht="12.75">
      <c r="A918" s="215"/>
    </row>
    <row r="919" spans="1:1" ht="12.75">
      <c r="A919" s="215"/>
    </row>
    <row r="920" spans="1:1" ht="12.75">
      <c r="A920" s="215"/>
    </row>
    <row r="921" spans="1:1" ht="12.75">
      <c r="A921" s="215"/>
    </row>
    <row r="922" spans="1:1" ht="12.75">
      <c r="A922" s="215"/>
    </row>
    <row r="923" spans="1:1" ht="12.75">
      <c r="A923" s="215"/>
    </row>
    <row r="924" spans="1:1" ht="12.75">
      <c r="A924" s="215"/>
    </row>
    <row r="925" spans="1:1" ht="12.75">
      <c r="A925" s="215"/>
    </row>
    <row r="926" spans="1:1" ht="12.75">
      <c r="A926" s="215"/>
    </row>
    <row r="927" spans="1:1" ht="12.75">
      <c r="A927" s="215"/>
    </row>
    <row r="928" spans="1:1" ht="12.75">
      <c r="A928" s="215"/>
    </row>
    <row r="929" spans="1:1" ht="12.75">
      <c r="A929" s="215"/>
    </row>
    <row r="930" spans="1:1" ht="12.75">
      <c r="A930" s="215"/>
    </row>
    <row r="931" spans="1:1" ht="12.75">
      <c r="A931" s="215"/>
    </row>
    <row r="932" spans="1:1" ht="12.75">
      <c r="A932" s="215"/>
    </row>
    <row r="933" spans="1:1" ht="12.75">
      <c r="A933" s="215"/>
    </row>
    <row r="934" spans="1:1" ht="12.75">
      <c r="A934" s="215"/>
    </row>
    <row r="935" spans="1:1" ht="12.75">
      <c r="A935" s="215"/>
    </row>
    <row r="936" spans="1:1" ht="12.75">
      <c r="A936" s="215"/>
    </row>
    <row r="937" spans="1:1" ht="12.75">
      <c r="A937" s="215"/>
    </row>
    <row r="938" spans="1:1" ht="12.75">
      <c r="A938" s="215"/>
    </row>
    <row r="939" spans="1:1" ht="12.75">
      <c r="A939" s="215"/>
    </row>
    <row r="940" spans="1:1" ht="12.75">
      <c r="A940" s="215"/>
    </row>
    <row r="941" spans="1:1" ht="12.75">
      <c r="A941" s="215"/>
    </row>
    <row r="942" spans="1:1" ht="12.75">
      <c r="A942" s="215"/>
    </row>
    <row r="943" spans="1:1" ht="12.75">
      <c r="A943" s="215"/>
    </row>
    <row r="944" spans="1:1" ht="12.75">
      <c r="A944" s="215"/>
    </row>
    <row r="945" spans="1:1" ht="12.75">
      <c r="A945" s="215"/>
    </row>
    <row r="946" spans="1:1" ht="12.75">
      <c r="A946" s="215"/>
    </row>
    <row r="947" spans="1:1" ht="12.75">
      <c r="A947" s="215"/>
    </row>
    <row r="948" spans="1:1" ht="12.75">
      <c r="A948" s="215"/>
    </row>
    <row r="949" spans="1:1" ht="12.75">
      <c r="A949" s="215"/>
    </row>
    <row r="950" spans="1:1" ht="12.75">
      <c r="A950" s="215"/>
    </row>
    <row r="951" spans="1:1" ht="12.75">
      <c r="A951" s="215"/>
    </row>
    <row r="952" spans="1:1" ht="12.75">
      <c r="A952" s="215"/>
    </row>
    <row r="953" spans="1:1" ht="12.75">
      <c r="A953" s="215"/>
    </row>
    <row r="954" spans="1:1" ht="12.75">
      <c r="A954" s="215"/>
    </row>
    <row r="955" spans="1:1" ht="12.75">
      <c r="A955" s="215"/>
    </row>
    <row r="956" spans="1:1" ht="12.75">
      <c r="A956" s="215"/>
    </row>
    <row r="957" spans="1:1" ht="12.75">
      <c r="A957" s="215"/>
    </row>
    <row r="958" spans="1:1" ht="12.75">
      <c r="A958" s="215"/>
    </row>
    <row r="959" spans="1:1" ht="12.75">
      <c r="A959" s="215"/>
    </row>
    <row r="960" spans="1:1" ht="12.75">
      <c r="A960" s="215"/>
    </row>
    <row r="961" spans="1:1" ht="12.75">
      <c r="A961" s="215"/>
    </row>
    <row r="962" spans="1:1" ht="12.75">
      <c r="A962" s="215"/>
    </row>
    <row r="963" spans="1:1" ht="12.75">
      <c r="A963" s="215"/>
    </row>
    <row r="964" spans="1:1" ht="12.75">
      <c r="A964" s="215"/>
    </row>
    <row r="965" spans="1:1" ht="12.75">
      <c r="A965" s="215"/>
    </row>
    <row r="966" spans="1:1" ht="12.75">
      <c r="A966" s="215"/>
    </row>
    <row r="967" spans="1:1" ht="12.75">
      <c r="A967" s="215"/>
    </row>
    <row r="968" spans="1:1" ht="12.75">
      <c r="A968" s="215"/>
    </row>
    <row r="969" spans="1:1" ht="12.75">
      <c r="A969" s="215"/>
    </row>
    <row r="970" spans="1:1" ht="12.75">
      <c r="A970" s="215"/>
    </row>
    <row r="971" spans="1:1" ht="12.75">
      <c r="A971" s="215"/>
    </row>
    <row r="972" spans="1:1" ht="12.75">
      <c r="A972" s="215"/>
    </row>
    <row r="973" spans="1:1" ht="12.75">
      <c r="A973" s="215"/>
    </row>
    <row r="974" spans="1:1" ht="12.75">
      <c r="A974" s="215"/>
    </row>
    <row r="975" spans="1:1" ht="12.75">
      <c r="A975" s="215"/>
    </row>
    <row r="976" spans="1:1" ht="12.75">
      <c r="A976" s="215"/>
    </row>
    <row r="977" spans="1:1" ht="12.75">
      <c r="A977" s="215"/>
    </row>
    <row r="978" spans="1:1" ht="12.75">
      <c r="A978" s="215"/>
    </row>
    <row r="979" spans="1:1" ht="12.75">
      <c r="A979" s="215"/>
    </row>
    <row r="980" spans="1:1" ht="12.75">
      <c r="A980" s="215"/>
    </row>
    <row r="981" spans="1:1" ht="12.75">
      <c r="A981" s="215"/>
    </row>
    <row r="982" spans="1:1" ht="12.75">
      <c r="A982" s="215"/>
    </row>
    <row r="983" spans="1:1" ht="12.75">
      <c r="A983" s="215"/>
    </row>
    <row r="984" spans="1:1" ht="12.75">
      <c r="A984" s="215"/>
    </row>
    <row r="985" spans="1:1" ht="12.75">
      <c r="A985" s="215"/>
    </row>
    <row r="986" spans="1:1" ht="12.75">
      <c r="A986" s="215"/>
    </row>
    <row r="987" spans="1:1" ht="12.75">
      <c r="A987" s="215"/>
    </row>
    <row r="988" spans="1:1" ht="12.75">
      <c r="A988" s="215"/>
    </row>
    <row r="989" spans="1:1" ht="12.75">
      <c r="A989" s="215"/>
    </row>
    <row r="990" spans="1:1" ht="12.75">
      <c r="A990" s="215"/>
    </row>
    <row r="991" spans="1:1" ht="12.75">
      <c r="A991" s="215"/>
    </row>
    <row r="992" spans="1:1" ht="12.75">
      <c r="A992" s="215"/>
    </row>
    <row r="993" spans="1:1" ht="12.75">
      <c r="A993" s="215"/>
    </row>
    <row r="994" spans="1:1" ht="12.75">
      <c r="A994" s="215"/>
    </row>
    <row r="995" spans="1:1" ht="12.75">
      <c r="A995" s="215"/>
    </row>
    <row r="996" spans="1:1" ht="12.75">
      <c r="A996" s="215"/>
    </row>
    <row r="997" spans="1:1" ht="12.75">
      <c r="A997" s="215"/>
    </row>
    <row r="998" spans="1:1" ht="12.75">
      <c r="A998" s="215"/>
    </row>
    <row r="999" spans="1:1" ht="12.75">
      <c r="A999" s="215"/>
    </row>
    <row r="1000" spans="1:1" ht="12.75">
      <c r="A1000" s="215"/>
    </row>
    <row r="1001" spans="1:1" ht="12.75">
      <c r="A1001" s="215"/>
    </row>
    <row r="1002" spans="1:1" ht="12.75">
      <c r="A1002" s="215"/>
    </row>
    <row r="1003" spans="1:1" ht="12.75">
      <c r="A1003" s="215"/>
    </row>
    <row r="1004" spans="1:1" ht="12.75">
      <c r="A1004" s="215"/>
    </row>
    <row r="1005" spans="1:1" ht="12.75">
      <c r="A1005" s="215"/>
    </row>
    <row r="1006" spans="1:1" ht="12.75">
      <c r="A1006" s="215"/>
    </row>
    <row r="1007" spans="1:1" ht="12.75">
      <c r="A1007" s="215"/>
    </row>
    <row r="1008" spans="1:1" ht="12.75">
      <c r="A1008" s="215"/>
    </row>
    <row r="1009" spans="1:1" ht="12.75">
      <c r="A1009" s="215"/>
    </row>
    <row r="1010" spans="1:1" ht="12.75">
      <c r="A1010" s="215"/>
    </row>
    <row r="1011" spans="1:1" ht="12.75">
      <c r="A1011" s="215"/>
    </row>
    <row r="1012" spans="1:1" ht="12.75">
      <c r="A1012" s="215"/>
    </row>
    <row r="1013" spans="1:1" ht="12.75">
      <c r="A1013" s="215"/>
    </row>
    <row r="1014" spans="1:1" ht="12.75">
      <c r="A1014" s="215"/>
    </row>
    <row r="1015" spans="1:1" ht="12.75">
      <c r="A1015" s="215"/>
    </row>
  </sheetData>
  <phoneticPr fontId="18" type="noConversion"/>
  <hyperlinks>
    <hyperlink ref="O38" r:id="rId1" xr:uid="{00000000-0004-0000-0500-000000000000}"/>
    <hyperlink ref="O23" r:id="rId2" xr:uid="{00000000-0004-0000-0500-000001000000}"/>
    <hyperlink ref="O105" r:id="rId3" display="'cuotacolegioestrada@gmail.com" xr:uid="{6C09F721-43CC-4B97-8286-41473724063C}"/>
    <hyperlink ref="O37" r:id="rId4" xr:uid="{EA0EF8AF-F875-482B-AD47-ACC49B262B69}"/>
    <hyperlink ref="B131" r:id="rId5" xr:uid="{9990FB81-7950-4E64-A011-823CEAFCFED9}"/>
    <hyperlink ref="B139" r:id="rId6" xr:uid="{45D63FE3-4E43-4253-89CB-DA7EC7FF4DC4}"/>
    <hyperlink ref="B135" r:id="rId7" xr:uid="{9F49248E-2E6F-4C8A-8BA1-869DEA1460C6}"/>
    <hyperlink ref="O143" r:id="rId8" xr:uid="{CF9E44AB-5D38-446D-9069-FA1BE0F421EE}"/>
    <hyperlink ref="O127" r:id="rId9" xr:uid="{F902BCAB-53CB-496C-B700-A65604214ADF}"/>
  </hyperlinks>
  <pageMargins left="0" right="0" top="0" bottom="0" header="0" footer="0"/>
  <drawing r:id="rId1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9B77F-5A7E-4706-AB30-9E3F91694813}">
  <dimension ref="A1:D2"/>
  <sheetViews>
    <sheetView workbookViewId="0">
      <selection activeCell="C10" sqref="C10"/>
    </sheetView>
  </sheetViews>
  <sheetFormatPr defaultRowHeight="12.75"/>
  <cols>
    <col min="2" max="2" width="19.42578125" bestFit="1" customWidth="1"/>
    <col min="3" max="3" width="25.140625" bestFit="1" customWidth="1"/>
    <col min="4" max="4" width="13.5703125" bestFit="1" customWidth="1"/>
  </cols>
  <sheetData>
    <row r="1" spans="1:4" s="4" customFormat="1">
      <c r="A1" s="835" t="s">
        <v>681</v>
      </c>
      <c r="B1" s="835" t="s">
        <v>79</v>
      </c>
      <c r="C1" s="835" t="s">
        <v>956</v>
      </c>
      <c r="D1" s="835" t="s">
        <v>957</v>
      </c>
    </row>
    <row r="2" spans="1:4">
      <c r="A2">
        <v>17861425</v>
      </c>
      <c r="B2" t="s">
        <v>743</v>
      </c>
      <c r="C2" t="s">
        <v>958</v>
      </c>
      <c r="D2" t="s">
        <v>959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2017-06-16T11:59:19Z</dcterms:created>
  <dcterms:modified xsi:type="dcterms:W3CDTF">2021-06-08T21:42:52Z</dcterms:modified>
  <cp:category/>
  <cp:contentStatus/>
</cp:coreProperties>
</file>